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lobalcompactdk.sharepoint.com/sites/Globalcompact/Delte dokumenter/ViV - Verdensmål i værdikæden/VIDEN i VÆRDIKÆDEGRUPPER/FREMTIDENS FØDEVARER/D/SDU projekt, maj 2021, BEREGNER/"/>
    </mc:Choice>
  </mc:AlternateContent>
  <xr:revisionPtr revIDLastSave="9" documentId="8_{9752B258-3968-4D67-9D87-3738E54BADBC}" xr6:coauthVersionLast="47" xr6:coauthVersionMax="47" xr10:uidLastSave="{9B2AC878-E718-4160-B1FF-94B154C9F814}"/>
  <bookViews>
    <workbookView xWindow="-120" yWindow="-120" windowWidth="29040" windowHeight="15840" xr2:uid="{A0BACAC6-AD69-4E28-B1D0-6AECCF4A62CB}"/>
  </bookViews>
  <sheets>
    <sheet name="Madaffaldsmodel" sheetId="3" r:id="rId1"/>
    <sheet name="Affaldssammensætning" sheetId="4" r:id="rId2"/>
    <sheet name="Biogas data" sheetId="6" r:id="rId3"/>
    <sheet name="Lossepladsdata" sheetId="5" r:id="rId4"/>
    <sheet name="Ækvivalens &amp; Emissionsfaktorer" sheetId="8" r:id="rId5"/>
  </sheets>
  <definedNames>
    <definedName name="House_1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3" l="1"/>
  <c r="D35" i="3" s="1"/>
  <c r="J28" i="3" l="1"/>
  <c r="D12" i="5"/>
  <c r="D14" i="8"/>
  <c r="F38" i="3" l="1"/>
  <c r="J38" i="3" s="1"/>
  <c r="J40" i="3"/>
  <c r="O39" i="3" s="1"/>
  <c r="O40" i="3" s="1"/>
  <c r="J32" i="3"/>
  <c r="B28" i="3"/>
  <c r="B24" i="3" s="1"/>
  <c r="D18" i="5"/>
  <c r="D16" i="5"/>
  <c r="D14" i="5"/>
  <c r="O24" i="3"/>
  <c r="H20" i="3"/>
  <c r="O21" i="3" s="1"/>
  <c r="J15" i="3"/>
  <c r="O14" i="3" s="1"/>
  <c r="D22" i="6"/>
  <c r="D23" i="6" s="1"/>
  <c r="D26" i="6"/>
  <c r="D29" i="6" s="1"/>
  <c r="O35" i="3" l="1"/>
  <c r="O36" i="3"/>
  <c r="B31" i="3"/>
  <c r="O31" i="3" s="1"/>
  <c r="O32" i="3" s="1"/>
  <c r="O27" i="3"/>
  <c r="O28" i="3" s="1"/>
  <c r="F12" i="3"/>
  <c r="C6" i="4"/>
  <c r="C17" i="4"/>
  <c r="C15" i="4"/>
  <c r="C16" i="4" s="1"/>
  <c r="C13" i="4"/>
  <c r="O43" i="3" l="1"/>
  <c r="AF23" i="3" s="1"/>
  <c r="O11" i="3"/>
  <c r="AF29" i="3" s="1"/>
  <c r="J12" i="3"/>
  <c r="D4" i="6"/>
  <c r="D13" i="6" s="1"/>
  <c r="D15" i="6" s="1"/>
  <c r="D27" i="6"/>
  <c r="D30" i="6" l="1"/>
  <c r="F11" i="3"/>
  <c r="D20" i="6"/>
  <c r="F6" i="3"/>
  <c r="H3" i="3" s="1"/>
  <c r="D14" i="6"/>
  <c r="D18" i="6" s="1"/>
  <c r="O6" i="3" l="1"/>
  <c r="O3" i="3"/>
  <c r="J6" i="3"/>
  <c r="O10" i="3"/>
  <c r="J11" i="3"/>
  <c r="D17" i="6"/>
  <c r="AF28" i="3" l="1"/>
  <c r="O13" i="3"/>
  <c r="O7" i="3"/>
  <c r="O4" i="3"/>
  <c r="O16" i="3" l="1"/>
  <c r="AF22" i="3" s="1"/>
  <c r="AF25" i="3" s="1"/>
</calcChain>
</file>

<file path=xl/sharedStrings.xml><?xml version="1.0" encoding="utf-8"?>
<sst xmlns="http://schemas.openxmlformats.org/spreadsheetml/2006/main" count="232" uniqueCount="170">
  <si>
    <t>Reference</t>
  </si>
  <si>
    <t>kg/kg</t>
  </si>
  <si>
    <t>H2O</t>
  </si>
  <si>
    <t>kg</t>
  </si>
  <si>
    <t>kg TS/kg</t>
  </si>
  <si>
    <t>kg VS/kg TS</t>
  </si>
  <si>
    <t>kg N/kg TS</t>
  </si>
  <si>
    <t>kg Ash/kg TS</t>
  </si>
  <si>
    <t xml:space="preserve">kg P/kg </t>
  </si>
  <si>
    <t>kg H2O/kg</t>
  </si>
  <si>
    <t>K</t>
  </si>
  <si>
    <t>kg K/kg</t>
  </si>
  <si>
    <t>kg C</t>
  </si>
  <si>
    <t>kg C/kg TS</t>
  </si>
  <si>
    <t>kg C/kg waste</t>
  </si>
  <si>
    <t>kg C/kg VS</t>
  </si>
  <si>
    <t>kg N/kg waste</t>
  </si>
  <si>
    <t>MJ/kg</t>
  </si>
  <si>
    <t>kg CH4/kg waste</t>
  </si>
  <si>
    <t>kg/m3</t>
  </si>
  <si>
    <t>Natural gas</t>
  </si>
  <si>
    <t>MJ/kg VS</t>
  </si>
  <si>
    <t>LHV</t>
  </si>
  <si>
    <t>C-fossil content</t>
  </si>
  <si>
    <t>Imported waste for incineration</t>
  </si>
  <si>
    <r>
      <t xml:space="preserve">A Pizarro-Alonso, C Cimpan and M Münster (2018): The climate footprint of imports of combustible waste in systems with
high shares of district heating and variable renewable energy. </t>
    </r>
    <r>
      <rPr>
        <b/>
        <sz val="11"/>
        <color theme="1"/>
        <rFont val="Calibri"/>
        <family val="2"/>
        <scheme val="minor"/>
      </rPr>
      <t>Waste Management</t>
    </r>
    <r>
      <rPr>
        <sz val="11"/>
        <color theme="1"/>
        <rFont val="Calibri"/>
        <family val="2"/>
        <scheme val="minor"/>
      </rPr>
      <t xml:space="preserve"> 79 (2018) 800–814.</t>
    </r>
  </si>
  <si>
    <r>
      <t xml:space="preserve">E Salimi, ME Taheri, K Passadis, J Novacovic, EM Barampouti, S Mai, K Moustakas, D Malamis and M Loizidou (2021): Valorisation of restaurant food waste under the concept of a biorefinery. </t>
    </r>
    <r>
      <rPr>
        <b/>
        <sz val="11"/>
        <color theme="1"/>
        <rFont val="Calibri"/>
        <family val="2"/>
        <scheme val="minor"/>
      </rPr>
      <t>Biomass Conversion and Biorefinery</t>
    </r>
    <r>
      <rPr>
        <sz val="11"/>
        <color theme="1"/>
        <rFont val="Calibri"/>
        <family val="2"/>
        <scheme val="minor"/>
      </rPr>
      <t xml:space="preserve"> (2021) 11:661–671</t>
    </r>
  </si>
  <si>
    <t>MJ/kg wet waste</t>
  </si>
  <si>
    <t>Habib et al 2013</t>
  </si>
  <si>
    <t>MJ</t>
  </si>
  <si>
    <t>MJ/m3</t>
  </si>
  <si>
    <t>m3</t>
  </si>
  <si>
    <t>g CO2-eq/MJ</t>
  </si>
  <si>
    <t>kg P/kg wet waste</t>
  </si>
  <si>
    <t>kg N/kg wet waste</t>
  </si>
  <si>
    <t>kg P</t>
  </si>
  <si>
    <t>kg N</t>
  </si>
  <si>
    <t>kg CO2-equivalents</t>
  </si>
  <si>
    <t>kg CO2-eq/m3 methane</t>
  </si>
  <si>
    <t xml:space="preserve">kg N </t>
  </si>
  <si>
    <t>= input data</t>
  </si>
  <si>
    <t>kg bio-C</t>
  </si>
  <si>
    <t>kg CO2-eq/kWh</t>
  </si>
  <si>
    <t>ref.: https://www.gov.uk/government/publications/greenhouse-gas-reporting-conversion-factors-2020</t>
  </si>
  <si>
    <t>kg CO2-eq/MJ</t>
  </si>
  <si>
    <t>Madaffald</t>
  </si>
  <si>
    <t>kg vådvægt</t>
  </si>
  <si>
    <t>m3 bio-metan</t>
  </si>
  <si>
    <t>kg jord-C</t>
  </si>
  <si>
    <t>Langtids C-lagring i jord</t>
  </si>
  <si>
    <t>Model for biogas produktion</t>
  </si>
  <si>
    <t>Model for undgået affaldsforbrænding</t>
  </si>
  <si>
    <t xml:space="preserve"> kg bio-C langtidslagring</t>
  </si>
  <si>
    <t>MJ induceret forbrænding</t>
  </si>
  <si>
    <t>Importeret affald</t>
  </si>
  <si>
    <t>MJ undgået</t>
  </si>
  <si>
    <t xml:space="preserve"> MJ el + varme forskel</t>
  </si>
  <si>
    <t>kg fossil C forskel</t>
  </si>
  <si>
    <t>m3 metan udslip</t>
  </si>
  <si>
    <t>m3 metan-ækv. i naturgas</t>
  </si>
  <si>
    <t>Afgasset madaffald</t>
  </si>
  <si>
    <t>MJ el</t>
  </si>
  <si>
    <t>Beregning</t>
  </si>
  <si>
    <t>Bio-metan udslip</t>
  </si>
  <si>
    <t>Forårsaget/undgået</t>
  </si>
  <si>
    <t>Forårsaget</t>
  </si>
  <si>
    <t>Undgået</t>
  </si>
  <si>
    <t>kg CO2-ækvivalenter</t>
  </si>
  <si>
    <t>m3 metan i naturgas</t>
  </si>
  <si>
    <t>Naturgas fortrængning</t>
  </si>
  <si>
    <t>kg N gødning</t>
  </si>
  <si>
    <t>kg P gødning</t>
  </si>
  <si>
    <t>∑ undgået emission fra gødningsfortrængning</t>
  </si>
  <si>
    <t>Undgået emission via langtidslagring i jord (100 år)</t>
  </si>
  <si>
    <t>Netto undgået emission fra biogas anvendelse i alt</t>
  </si>
  <si>
    <t>Forårsaget udledning af fossil CO2 fra forbrænding af importeret affald</t>
  </si>
  <si>
    <t>El og varme produktion fra erstatning af madaffald med importeret affald</t>
  </si>
  <si>
    <t>Uændret</t>
  </si>
  <si>
    <t>Undgået emission af losseplads-gas</t>
  </si>
  <si>
    <t>Langtidslagring af bio-C i deponi</t>
  </si>
  <si>
    <t>Undgået lagring (=forårsaget udledning)</t>
  </si>
  <si>
    <t>Forårsaget el-produktion i udlandet</t>
  </si>
  <si>
    <t>Total carbon footprint beregning for affaldsforbrænding af madaffaldet</t>
  </si>
  <si>
    <t>Total carbon footprint beregning for produktion af biogas ud fra madaffaldet</t>
  </si>
  <si>
    <t>Netto forårsaget emission fra erstatning af madaffald med importeret affald i affaldsforbrænding</t>
  </si>
  <si>
    <t>Signaturforklaring</t>
  </si>
  <si>
    <t>= forårsaget flow</t>
  </si>
  <si>
    <t>= undgået flow</t>
  </si>
  <si>
    <t>= uændret flow</t>
  </si>
  <si>
    <t>= proces</t>
  </si>
  <si>
    <t>= model beregning</t>
  </si>
  <si>
    <t>Netto effekt af sortering af madaffald til biogas</t>
  </si>
  <si>
    <t>Total drivhusgas reduktion ved anvendelse af madaffald til biogas</t>
  </si>
  <si>
    <t>Total øget drivhusgasudledning ved undgået affaldsforbrænding</t>
  </si>
  <si>
    <t>Netto drivhusgas reduktion ved sortering af madaffald</t>
  </si>
  <si>
    <t>Fortrængning af kunstgødning</t>
  </si>
  <si>
    <t>Kunstgødning</t>
  </si>
  <si>
    <t>Fortrængning af kunstgødning + kulstoflagring i markjord</t>
  </si>
  <si>
    <t>Total fortrængning af N i kunstgødning</t>
  </si>
  <si>
    <t>Total fortrængning af P i kunstgødning</t>
  </si>
  <si>
    <t>Drivhusgas reduktion</t>
  </si>
  <si>
    <t>= resultat</t>
  </si>
  <si>
    <t>Madaffald fra restauranter</t>
  </si>
  <si>
    <t>Masse</t>
  </si>
  <si>
    <t>Brændværdi (LHV)</t>
  </si>
  <si>
    <t>Tørstofindhold (total solids, TS)</t>
  </si>
  <si>
    <t>Organisk stof (volatile solids, VS)</t>
  </si>
  <si>
    <t>Organisk-N</t>
  </si>
  <si>
    <t>Aske</t>
  </si>
  <si>
    <t>Carbon i affaldet</t>
  </si>
  <si>
    <t>Carbon i VS</t>
  </si>
  <si>
    <t>Nitrogen, N</t>
  </si>
  <si>
    <t>Fosfor, P</t>
  </si>
  <si>
    <t>Referencer</t>
  </si>
  <si>
    <t>Biogas produktion</t>
  </si>
  <si>
    <t>Madaffald mængde</t>
  </si>
  <si>
    <t>Madaffald brændværdi, LHV</t>
  </si>
  <si>
    <t>Bio-metan konverteringseffektivitet conversion efficiency</t>
  </si>
  <si>
    <t>% af LHV</t>
  </si>
  <si>
    <t>Enhed</t>
  </si>
  <si>
    <t>% af ikke-konverteret C</t>
  </si>
  <si>
    <t>% of madaffald C</t>
  </si>
  <si>
    <t>Bio-metan brændværdi, LHV</t>
  </si>
  <si>
    <t>Bio-metan vægtfylde</t>
  </si>
  <si>
    <t>Bio-metan produktion</t>
  </si>
  <si>
    <t>Bio-metan emission</t>
  </si>
  <si>
    <t>% af produktion</t>
  </si>
  <si>
    <t>Fortrængt naturgas</t>
  </si>
  <si>
    <t>Carbon footprint naturgas</t>
  </si>
  <si>
    <t>Gødningsprodukter</t>
  </si>
  <si>
    <t>P-indhold</t>
  </si>
  <si>
    <t>N-indhold</t>
  </si>
  <si>
    <t>P genanvendt</t>
  </si>
  <si>
    <t>N genanvendt</t>
  </si>
  <si>
    <t>Brændværdi, LHV</t>
  </si>
  <si>
    <t>C-fossil indhold</t>
  </si>
  <si>
    <t>C-bio lagret</t>
  </si>
  <si>
    <t>Metan produktion total</t>
  </si>
  <si>
    <t xml:space="preserve">Metan oxidation i top dæklag </t>
  </si>
  <si>
    <t>andet af produceret</t>
  </si>
  <si>
    <t>andel af ikke captured</t>
  </si>
  <si>
    <t>Metan udledt med lossepladsgas</t>
  </si>
  <si>
    <t>Metan udslip i gas motor</t>
  </si>
  <si>
    <t>andel af input metan</t>
  </si>
  <si>
    <t>kg CH4/kg affald</t>
  </si>
  <si>
    <t>El produktion effektivitet</t>
  </si>
  <si>
    <t>andel af input LHV</t>
  </si>
  <si>
    <t>El produktion</t>
  </si>
  <si>
    <t>MJ/kg affald</t>
  </si>
  <si>
    <t>Metan opsamlet</t>
  </si>
  <si>
    <t>Metan udslip fra gas motor</t>
  </si>
  <si>
    <t>Lossepladsgas opsamling</t>
  </si>
  <si>
    <t>Metan CO2-ækvivalens</t>
  </si>
  <si>
    <t>g CO2-ækv./g metan</t>
  </si>
  <si>
    <t>Kunstgødning ækvivalens</t>
  </si>
  <si>
    <t>kg affald-N/kg kunstgødning-N</t>
  </si>
  <si>
    <t>kg affald-P/kg kunstgødning-P</t>
  </si>
  <si>
    <t>kg CO2-ækv./MJ</t>
  </si>
  <si>
    <t>Kunstgødning-N</t>
  </si>
  <si>
    <t>Kunstgødning-P</t>
  </si>
  <si>
    <t>kg CO2-ækv./kg N i kunstgødning</t>
  </si>
  <si>
    <t>kg CO2-ækv./kg P i kunstgødning</t>
  </si>
  <si>
    <t>Elektricitet i UK</t>
  </si>
  <si>
    <t xml:space="preserve"> </t>
  </si>
  <si>
    <t xml:space="preserve">    MJ undgået deponi</t>
  </si>
  <si>
    <t>m3 bio-metan i emission af losseplads-gas</t>
  </si>
  <si>
    <t xml:space="preserve">m3 bio-metan i emission fra gasmotor      </t>
  </si>
  <si>
    <t>m3 bio-metan i opsamlet lossepladsgas</t>
  </si>
  <si>
    <t>Undgået emission fra gasmotor til lossepladsgas</t>
  </si>
  <si>
    <t>= net/marked/efterspørgsel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</si>
</sst>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_-* #,##0.0_-;\-* #,##0.0_-;_-* &quot;-&quot;??_-;_-@_-"/>
    <numFmt numFmtId="168" formatCode="0.0000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2" fontId="0" fillId="0" borderId="0" xfId="0" applyNumberFormat="1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Border="1"/>
    <xf numFmtId="164" fontId="0" fillId="0" borderId="0" xfId="0" applyNumberFormat="1"/>
    <xf numFmtId="0" fontId="6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5" fillId="0" borderId="0" xfId="0" applyFont="1"/>
    <xf numFmtId="0" fontId="0" fillId="0" borderId="0" xfId="0" quotePrefix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166" fontId="0" fillId="0" borderId="0" xfId="0" applyNumberFormat="1"/>
    <xf numFmtId="166" fontId="2" fillId="0" borderId="0" xfId="0" applyNumberFormat="1" applyFont="1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/>
    </xf>
    <xf numFmtId="2" fontId="0" fillId="2" borderId="0" xfId="0" applyNumberFormat="1" applyFill="1" applyAlignment="1"/>
    <xf numFmtId="164" fontId="0" fillId="2" borderId="0" xfId="0" applyNumberFormat="1" applyFill="1" applyAlignment="1"/>
    <xf numFmtId="164" fontId="0" fillId="2" borderId="0" xfId="0" applyNumberFormat="1" applyFill="1"/>
    <xf numFmtId="0" fontId="0" fillId="0" borderId="0" xfId="0" applyFont="1"/>
    <xf numFmtId="0" fontId="0" fillId="0" borderId="0" xfId="0" applyFont="1" applyAlignment="1"/>
    <xf numFmtId="0" fontId="0" fillId="0" borderId="0" xfId="0" applyAlignment="1"/>
    <xf numFmtId="2" fontId="0" fillId="2" borderId="0" xfId="0" applyNumberFormat="1" applyFill="1"/>
    <xf numFmtId="0" fontId="2" fillId="0" borderId="0" xfId="0" applyFont="1" applyAlignment="1">
      <alignment horizontal="left"/>
    </xf>
    <xf numFmtId="164" fontId="0" fillId="2" borderId="0" xfId="0" applyNumberFormat="1" applyFont="1" applyFill="1" applyAlignment="1"/>
    <xf numFmtId="0" fontId="9" fillId="0" borderId="0" xfId="0" applyFont="1"/>
    <xf numFmtId="0" fontId="10" fillId="0" borderId="0" xfId="0" applyFont="1"/>
    <xf numFmtId="0" fontId="0" fillId="0" borderId="0" xfId="0" applyBorder="1" applyAlignment="1">
      <alignment horizontal="left"/>
    </xf>
    <xf numFmtId="2" fontId="0" fillId="0" borderId="0" xfId="0" applyNumberFormat="1" applyFill="1" applyBorder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0" fontId="0" fillId="4" borderId="0" xfId="0" applyFill="1"/>
    <xf numFmtId="164" fontId="2" fillId="4" borderId="0" xfId="0" applyNumberFormat="1" applyFont="1" applyFill="1"/>
    <xf numFmtId="0" fontId="2" fillId="4" borderId="0" xfId="0" applyFont="1" applyFill="1"/>
    <xf numFmtId="164" fontId="2" fillId="0" borderId="0" xfId="0" applyNumberFormat="1" applyFont="1" applyFill="1"/>
    <xf numFmtId="0" fontId="8" fillId="0" borderId="0" xfId="0" applyFont="1" applyAlignment="1">
      <alignment horizontal="center" vertical="center"/>
    </xf>
    <xf numFmtId="165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2" fontId="2" fillId="0" borderId="0" xfId="0" applyNumberFormat="1" applyFont="1" applyFill="1"/>
    <xf numFmtId="0" fontId="2" fillId="0" borderId="0" xfId="0" applyFont="1" applyFill="1"/>
    <xf numFmtId="2" fontId="7" fillId="0" borderId="0" xfId="0" applyNumberFormat="1" applyFont="1" applyAlignment="1">
      <alignment horizontal="right" vertical="center"/>
    </xf>
    <xf numFmtId="1" fontId="7" fillId="0" borderId="0" xfId="0" applyNumberFormat="1" applyFont="1" applyAlignment="1">
      <alignment horizontal="right" vertical="center"/>
    </xf>
    <xf numFmtId="0" fontId="0" fillId="0" borderId="0" xfId="0" applyFont="1" applyFill="1"/>
    <xf numFmtId="1" fontId="0" fillId="2" borderId="0" xfId="0" applyNumberFormat="1" applyFont="1" applyFill="1"/>
    <xf numFmtId="164" fontId="0" fillId="2" borderId="0" xfId="0" applyNumberFormat="1" applyFont="1" applyFill="1"/>
    <xf numFmtId="0" fontId="11" fillId="0" borderId="0" xfId="0" applyNumberFormat="1" applyFont="1" applyBorder="1" applyAlignment="1">
      <alignment horizontal="right"/>
    </xf>
    <xf numFmtId="0" fontId="7" fillId="4" borderId="0" xfId="0" applyFont="1" applyFill="1" applyAlignment="1">
      <alignment vertical="center"/>
    </xf>
    <xf numFmtId="0" fontId="7" fillId="4" borderId="0" xfId="0" applyFont="1" applyFill="1" applyAlignment="1">
      <alignment horizontal="right" vertical="center"/>
    </xf>
    <xf numFmtId="9" fontId="7" fillId="4" borderId="0" xfId="0" applyNumberFormat="1" applyFont="1" applyFill="1" applyAlignment="1">
      <alignment horizontal="right" vertical="center"/>
    </xf>
    <xf numFmtId="0" fontId="10" fillId="4" borderId="0" xfId="0" applyFont="1" applyFill="1" applyAlignment="1"/>
    <xf numFmtId="165" fontId="0" fillId="4" borderId="0" xfId="0" applyNumberFormat="1" applyFill="1"/>
    <xf numFmtId="0" fontId="0" fillId="0" borderId="0" xfId="0" applyBorder="1" applyAlignment="1"/>
    <xf numFmtId="167" fontId="0" fillId="0" borderId="0" xfId="2" applyNumberFormat="1" applyFont="1"/>
    <xf numFmtId="0" fontId="0" fillId="5" borderId="0" xfId="0" applyFill="1"/>
    <xf numFmtId="0" fontId="2" fillId="5" borderId="0" xfId="0" applyFont="1" applyFill="1"/>
    <xf numFmtId="0" fontId="0" fillId="5" borderId="0" xfId="0" applyFont="1" applyFill="1"/>
    <xf numFmtId="2" fontId="2" fillId="0" borderId="0" xfId="0" applyNumberFormat="1" applyFont="1" applyFill="1" applyAlignment="1"/>
    <xf numFmtId="164" fontId="0" fillId="6" borderId="0" xfId="0" applyNumberFormat="1" applyFill="1"/>
    <xf numFmtId="0" fontId="0" fillId="6" borderId="0" xfId="0" applyFill="1"/>
    <xf numFmtId="0" fontId="8" fillId="0" borderId="0" xfId="0" applyFont="1" applyAlignment="1">
      <alignment vertical="center" wrapText="1"/>
    </xf>
    <xf numFmtId="168" fontId="0" fillId="0" borderId="0" xfId="0" applyNumberFormat="1" applyFill="1" applyAlignment="1">
      <alignment horizontal="center" vertical="top"/>
    </xf>
    <xf numFmtId="0" fontId="0" fillId="0" borderId="0" xfId="0" applyFont="1" applyAlignment="1">
      <alignment horizontal="left"/>
    </xf>
    <xf numFmtId="168" fontId="0" fillId="2" borderId="0" xfId="0" applyNumberFormat="1" applyFill="1"/>
    <xf numFmtId="2" fontId="0" fillId="2" borderId="0" xfId="0" applyNumberFormat="1" applyFont="1" applyFill="1"/>
    <xf numFmtId="2" fontId="0" fillId="6" borderId="0" xfId="0" applyNumberFormat="1" applyFont="1" applyFill="1"/>
    <xf numFmtId="2" fontId="0" fillId="0" borderId="1" xfId="0" applyNumberFormat="1" applyBorder="1"/>
    <xf numFmtId="168" fontId="0" fillId="2" borderId="0" xfId="0" applyNumberFormat="1" applyFill="1" applyAlignment="1">
      <alignment horizontal="center" vertical="top"/>
    </xf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 wrapText="1"/>
    </xf>
    <xf numFmtId="165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2" fontId="0" fillId="2" borderId="0" xfId="0" applyNumberForma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2" fontId="0" fillId="2" borderId="0" xfId="0" applyNumberForma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0" borderId="0" xfId="0" applyFont="1" applyAlignment="1">
      <alignment horizontal="left"/>
    </xf>
    <xf numFmtId="0" fontId="0" fillId="0" borderId="0" xfId="0" applyBorder="1" applyAlignment="1">
      <alignment horizontal="center" wrapText="1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</cellXfs>
  <cellStyles count="3">
    <cellStyle name="Komma" xfId="2" builtinId="3"/>
    <cellStyle name="Normal" xfId="0" builtinId="0"/>
    <cellStyle name="Normal 2" xfId="1" xr:uid="{23B767BF-EC04-4E9E-9348-2AC340DA43C7}"/>
  </cellStyles>
  <dxfs count="0"/>
  <tableStyles count="0" defaultTableStyle="TableStyleMedium2" defaultPivotStyle="PivotStyleLight16"/>
  <colors>
    <mruColors>
      <color rgb="FFF771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128587</xdr:colOff>
      <xdr:row>68</xdr:row>
      <xdr:rowOff>69610</xdr:rowOff>
    </xdr:from>
    <xdr:to>
      <xdr:col>22</xdr:col>
      <xdr:colOff>430212</xdr:colOff>
      <xdr:row>96</xdr:row>
      <xdr:rowOff>171450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3D7899B-C3AF-47ED-9C36-1EA35A00F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" y="13039485"/>
          <a:ext cx="12747625" cy="5435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590550</xdr:colOff>
      <xdr:row>4</xdr:row>
      <xdr:rowOff>47625</xdr:rowOff>
    </xdr:from>
    <xdr:to>
      <xdr:col>5</xdr:col>
      <xdr:colOff>0</xdr:colOff>
      <xdr:row>8</xdr:row>
      <xdr:rowOff>0</xdr:rowOff>
    </xdr:to>
    <xdr:sp macro="" textlink="">
      <xdr:nvSpPr>
        <xdr:cNvPr id="5" name="Tekstfelt 4">
          <a:extLst>
            <a:ext uri="{FF2B5EF4-FFF2-40B4-BE49-F238E27FC236}">
              <a16:creationId xmlns:a16="http://schemas.microsoft.com/office/drawing/2014/main" id="{0E7F1E73-17C0-4333-B7B1-88DA0EF85519}"/>
            </a:ext>
          </a:extLst>
        </xdr:cNvPr>
        <xdr:cNvSpPr txBox="1"/>
      </xdr:nvSpPr>
      <xdr:spPr>
        <a:xfrm>
          <a:off x="2133600" y="1190625"/>
          <a:ext cx="123825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1400"/>
            <a:t>Biogas produktion</a:t>
          </a:r>
        </a:p>
      </xdr:txBody>
    </xdr:sp>
    <xdr:clientData/>
  </xdr:twoCellAnchor>
  <xdr:twoCellAnchor>
    <xdr:from>
      <xdr:col>6</xdr:col>
      <xdr:colOff>485775</xdr:colOff>
      <xdr:row>4</xdr:row>
      <xdr:rowOff>73025</xdr:rowOff>
    </xdr:from>
    <xdr:to>
      <xdr:col>9</xdr:col>
      <xdr:colOff>19050</xdr:colOff>
      <xdr:row>8</xdr:row>
      <xdr:rowOff>6350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74BD93B3-3680-4353-BB72-ACBBCDD6F324}"/>
            </a:ext>
          </a:extLst>
        </xdr:cNvPr>
        <xdr:cNvSpPr/>
      </xdr:nvSpPr>
      <xdr:spPr>
        <a:xfrm>
          <a:off x="4787900" y="977900"/>
          <a:ext cx="1366838" cy="774700"/>
        </a:xfrm>
        <a:prstGeom prst="ellipse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Gas net</a:t>
          </a:r>
        </a:p>
      </xdr:txBody>
    </xdr:sp>
    <xdr:clientData/>
  </xdr:twoCellAnchor>
  <xdr:twoCellAnchor>
    <xdr:from>
      <xdr:col>6</xdr:col>
      <xdr:colOff>523874</xdr:colOff>
      <xdr:row>8</xdr:row>
      <xdr:rowOff>53975</xdr:rowOff>
    </xdr:from>
    <xdr:to>
      <xdr:col>8</xdr:col>
      <xdr:colOff>606424</xdr:colOff>
      <xdr:row>11</xdr:row>
      <xdr:rowOff>142875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8EA2F8A-FAE6-43A1-8DFE-1D5BB50A9671}"/>
            </a:ext>
          </a:extLst>
        </xdr:cNvPr>
        <xdr:cNvSpPr/>
      </xdr:nvSpPr>
      <xdr:spPr>
        <a:xfrm>
          <a:off x="4825999" y="1847850"/>
          <a:ext cx="1304925" cy="715963"/>
        </a:xfrm>
        <a:prstGeom prst="ellipse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Markjord</a:t>
          </a:r>
        </a:p>
      </xdr:txBody>
    </xdr:sp>
    <xdr:clientData/>
  </xdr:twoCellAnchor>
  <xdr:twoCellAnchor>
    <xdr:from>
      <xdr:col>4</xdr:col>
      <xdr:colOff>341313</xdr:colOff>
      <xdr:row>2</xdr:row>
      <xdr:rowOff>182563</xdr:rowOff>
    </xdr:from>
    <xdr:to>
      <xdr:col>11</xdr:col>
      <xdr:colOff>47625</xdr:colOff>
      <xdr:row>4</xdr:row>
      <xdr:rowOff>39691</xdr:rowOff>
    </xdr:to>
    <xdr:cxnSp macro="">
      <xdr:nvCxnSpPr>
        <xdr:cNvPr id="11" name="Forbindelse: vinklet 10">
          <a:extLst>
            <a:ext uri="{FF2B5EF4-FFF2-40B4-BE49-F238E27FC236}">
              <a16:creationId xmlns:a16="http://schemas.microsoft.com/office/drawing/2014/main" id="{FE1BBC0F-0362-4E80-A970-9E67739F61F4}"/>
            </a:ext>
          </a:extLst>
        </xdr:cNvPr>
        <xdr:cNvCxnSpPr/>
      </xdr:nvCxnSpPr>
      <xdr:spPr>
        <a:xfrm flipV="1">
          <a:off x="3421063" y="754063"/>
          <a:ext cx="3984625" cy="238128"/>
        </a:xfrm>
        <a:prstGeom prst="bentConnector3">
          <a:avLst>
            <a:gd name="adj1" fmla="val 398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590550</xdr:colOff>
      <xdr:row>21</xdr:row>
      <xdr:rowOff>47625</xdr:rowOff>
    </xdr:from>
    <xdr:to>
      <xdr:col>5</xdr:col>
      <xdr:colOff>0</xdr:colOff>
      <xdr:row>25</xdr:row>
      <xdr:rowOff>0</xdr:rowOff>
    </xdr:to>
    <xdr:sp macro="" textlink="">
      <xdr:nvSpPr>
        <xdr:cNvPr id="18" name="Tekstfelt 17">
          <a:extLst>
            <a:ext uri="{FF2B5EF4-FFF2-40B4-BE49-F238E27FC236}">
              <a16:creationId xmlns:a16="http://schemas.microsoft.com/office/drawing/2014/main" id="{43489E59-B4DC-448F-BCC5-871D7EE3725F}"/>
            </a:ext>
          </a:extLst>
        </xdr:cNvPr>
        <xdr:cNvSpPr txBox="1"/>
      </xdr:nvSpPr>
      <xdr:spPr>
        <a:xfrm>
          <a:off x="2447925" y="1333500"/>
          <a:ext cx="1243013" cy="793750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1400"/>
            <a:t>Affalds-forbrænding</a:t>
          </a:r>
        </a:p>
      </xdr:txBody>
    </xdr:sp>
    <xdr:clientData/>
  </xdr:twoCellAnchor>
  <xdr:twoCellAnchor>
    <xdr:from>
      <xdr:col>6</xdr:col>
      <xdr:colOff>493713</xdr:colOff>
      <xdr:row>21</xdr:row>
      <xdr:rowOff>9525</xdr:rowOff>
    </xdr:from>
    <xdr:to>
      <xdr:col>9</xdr:col>
      <xdr:colOff>26988</xdr:colOff>
      <xdr:row>25</xdr:row>
      <xdr:rowOff>47625</xdr:rowOff>
    </xdr:to>
    <xdr:sp macro="" textlink="">
      <xdr:nvSpPr>
        <xdr:cNvPr id="19" name="Ellipse 18">
          <a:extLst>
            <a:ext uri="{FF2B5EF4-FFF2-40B4-BE49-F238E27FC236}">
              <a16:creationId xmlns:a16="http://schemas.microsoft.com/office/drawing/2014/main" id="{5702E962-AE2B-4BA9-A107-FBEA985B4C5F}"/>
            </a:ext>
          </a:extLst>
        </xdr:cNvPr>
        <xdr:cNvSpPr/>
      </xdr:nvSpPr>
      <xdr:spPr>
        <a:xfrm>
          <a:off x="4795838" y="4430713"/>
          <a:ext cx="1366838" cy="792162"/>
        </a:xfrm>
        <a:prstGeom prst="ellipse">
          <a:avLst/>
        </a:prstGeom>
        <a:solidFill>
          <a:sysClr val="window" lastClr="FFFFFF"/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El + varme net</a:t>
          </a:r>
          <a:r>
            <a:rPr lang="da-DK" sz="1400" baseline="0">
              <a:solidFill>
                <a:sysClr val="windowText" lastClr="000000"/>
              </a:solidFill>
            </a:rPr>
            <a:t> i </a:t>
          </a:r>
          <a:r>
            <a:rPr lang="da-DK" sz="1400">
              <a:solidFill>
                <a:sysClr val="windowText" lastClr="000000"/>
              </a:solidFill>
            </a:rPr>
            <a:t> DK</a:t>
          </a:r>
        </a:p>
        <a:p>
          <a:pPr algn="ctr"/>
          <a:endParaRPr lang="da-DK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7938</xdr:colOff>
      <xdr:row>5</xdr:row>
      <xdr:rowOff>261938</xdr:rowOff>
    </xdr:from>
    <xdr:to>
      <xdr:col>2</xdr:col>
      <xdr:colOff>598488</xdr:colOff>
      <xdr:row>5</xdr:row>
      <xdr:rowOff>261938</xdr:rowOff>
    </xdr:to>
    <xdr:cxnSp macro="">
      <xdr:nvCxnSpPr>
        <xdr:cNvPr id="39" name="Lige pilforbindelse 38">
          <a:extLst>
            <a:ext uri="{FF2B5EF4-FFF2-40B4-BE49-F238E27FC236}">
              <a16:creationId xmlns:a16="http://schemas.microsoft.com/office/drawing/2014/main" id="{A5DE6B3F-5384-43BD-97C2-144A1CEF2C9B}"/>
            </a:ext>
          </a:extLst>
        </xdr:cNvPr>
        <xdr:cNvCxnSpPr/>
      </xdr:nvCxnSpPr>
      <xdr:spPr>
        <a:xfrm>
          <a:off x="1254126" y="1357313"/>
          <a:ext cx="1201737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47628</xdr:colOff>
      <xdr:row>6</xdr:row>
      <xdr:rowOff>7938</xdr:rowOff>
    </xdr:from>
    <xdr:to>
      <xdr:col>6</xdr:col>
      <xdr:colOff>436566</xdr:colOff>
      <xdr:row>6</xdr:row>
      <xdr:rowOff>7938</xdr:rowOff>
    </xdr:to>
    <xdr:cxnSp macro="">
      <xdr:nvCxnSpPr>
        <xdr:cNvPr id="41" name="Lige pilforbindelse 40">
          <a:extLst>
            <a:ext uri="{FF2B5EF4-FFF2-40B4-BE49-F238E27FC236}">
              <a16:creationId xmlns:a16="http://schemas.microsoft.com/office/drawing/2014/main" id="{8F2458DD-8C49-47D5-BD9F-6178E28DFB78}"/>
            </a:ext>
          </a:extLst>
        </xdr:cNvPr>
        <xdr:cNvCxnSpPr/>
      </xdr:nvCxnSpPr>
      <xdr:spPr>
        <a:xfrm>
          <a:off x="3738566" y="1373188"/>
          <a:ext cx="1000125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349250</xdr:colOff>
      <xdr:row>8</xdr:row>
      <xdr:rowOff>7938</xdr:rowOff>
    </xdr:from>
    <xdr:to>
      <xdr:col>6</xdr:col>
      <xdr:colOff>460375</xdr:colOff>
      <xdr:row>10</xdr:row>
      <xdr:rowOff>15875</xdr:rowOff>
    </xdr:to>
    <xdr:cxnSp macro="">
      <xdr:nvCxnSpPr>
        <xdr:cNvPr id="45" name="Forbindelse: vinklet 44">
          <a:extLst>
            <a:ext uri="{FF2B5EF4-FFF2-40B4-BE49-F238E27FC236}">
              <a16:creationId xmlns:a16="http://schemas.microsoft.com/office/drawing/2014/main" id="{ADEF2CC0-AF64-407A-BE0C-9D351CB4FC50}"/>
            </a:ext>
          </a:extLst>
        </xdr:cNvPr>
        <xdr:cNvCxnSpPr/>
      </xdr:nvCxnSpPr>
      <xdr:spPr>
        <a:xfrm>
          <a:off x="3429000" y="1801813"/>
          <a:ext cx="1333500" cy="388937"/>
        </a:xfrm>
        <a:prstGeom prst="bentConnector3">
          <a:avLst>
            <a:gd name="adj1" fmla="val 0"/>
          </a:avLst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396876</xdr:colOff>
      <xdr:row>20</xdr:row>
      <xdr:rowOff>0</xdr:rowOff>
    </xdr:from>
    <xdr:to>
      <xdr:col>10</xdr:col>
      <xdr:colOff>603250</xdr:colOff>
      <xdr:row>21</xdr:row>
      <xdr:rowOff>39690</xdr:rowOff>
    </xdr:to>
    <xdr:cxnSp macro="">
      <xdr:nvCxnSpPr>
        <xdr:cNvPr id="50" name="Forbindelse: vinklet 49">
          <a:extLst>
            <a:ext uri="{FF2B5EF4-FFF2-40B4-BE49-F238E27FC236}">
              <a16:creationId xmlns:a16="http://schemas.microsoft.com/office/drawing/2014/main" id="{2E3EA8E1-A5D3-4C3D-B78F-02E4EFA3C078}"/>
            </a:ext>
          </a:extLst>
        </xdr:cNvPr>
        <xdr:cNvCxnSpPr/>
      </xdr:nvCxnSpPr>
      <xdr:spPr>
        <a:xfrm flipV="1">
          <a:off x="3476626" y="4325938"/>
          <a:ext cx="3873499" cy="230190"/>
        </a:xfrm>
        <a:prstGeom prst="bentConnector3">
          <a:avLst>
            <a:gd name="adj1" fmla="val 0"/>
          </a:avLst>
        </a:prstGeom>
        <a:ln w="28575"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49215</xdr:colOff>
      <xdr:row>23</xdr:row>
      <xdr:rowOff>17462</xdr:rowOff>
    </xdr:from>
    <xdr:to>
      <xdr:col>6</xdr:col>
      <xdr:colOff>438153</xdr:colOff>
      <xdr:row>23</xdr:row>
      <xdr:rowOff>17462</xdr:rowOff>
    </xdr:to>
    <xdr:cxnSp macro="">
      <xdr:nvCxnSpPr>
        <xdr:cNvPr id="51" name="Lige pilforbindelse 50">
          <a:extLst>
            <a:ext uri="{FF2B5EF4-FFF2-40B4-BE49-F238E27FC236}">
              <a16:creationId xmlns:a16="http://schemas.microsoft.com/office/drawing/2014/main" id="{A27F7F35-83BB-4894-A436-1599F5ABBD6B}"/>
            </a:ext>
          </a:extLst>
        </xdr:cNvPr>
        <xdr:cNvCxnSpPr/>
      </xdr:nvCxnSpPr>
      <xdr:spPr>
        <a:xfrm>
          <a:off x="3740153" y="4795837"/>
          <a:ext cx="1000125" cy="0"/>
        </a:xfrm>
        <a:prstGeom prst="straightConnector1">
          <a:avLst/>
        </a:prstGeom>
        <a:ln w="28575">
          <a:solidFill>
            <a:schemeClr val="bg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15875</xdr:colOff>
      <xdr:row>25</xdr:row>
      <xdr:rowOff>0</xdr:rowOff>
    </xdr:from>
    <xdr:to>
      <xdr:col>3</xdr:col>
      <xdr:colOff>600869</xdr:colOff>
      <xdr:row>28</xdr:row>
      <xdr:rowOff>15875</xdr:rowOff>
    </xdr:to>
    <xdr:cxnSp macro="">
      <xdr:nvCxnSpPr>
        <xdr:cNvPr id="54" name="Forbindelse: vinklet 53">
          <a:extLst>
            <a:ext uri="{FF2B5EF4-FFF2-40B4-BE49-F238E27FC236}">
              <a16:creationId xmlns:a16="http://schemas.microsoft.com/office/drawing/2014/main" id="{CB0667F6-9B60-420E-868D-E0B1FC004DDD}"/>
            </a:ext>
          </a:extLst>
        </xdr:cNvPr>
        <xdr:cNvCxnSpPr>
          <a:endCxn id="18" idx="2"/>
        </xdr:cNvCxnSpPr>
      </xdr:nvCxnSpPr>
      <xdr:spPr>
        <a:xfrm flipV="1">
          <a:off x="1262063" y="5143500"/>
          <a:ext cx="1807369" cy="635000"/>
        </a:xfrm>
        <a:prstGeom prst="bentConnector2">
          <a:avLst/>
        </a:prstGeom>
        <a:ln w="28575"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1239838</xdr:colOff>
      <xdr:row>23</xdr:row>
      <xdr:rowOff>17462</xdr:rowOff>
    </xdr:from>
    <xdr:to>
      <xdr:col>2</xdr:col>
      <xdr:colOff>584200</xdr:colOff>
      <xdr:row>23</xdr:row>
      <xdr:rowOff>17462</xdr:rowOff>
    </xdr:to>
    <xdr:cxnSp macro="">
      <xdr:nvCxnSpPr>
        <xdr:cNvPr id="55" name="Lige pilforbindelse 54">
          <a:extLst>
            <a:ext uri="{FF2B5EF4-FFF2-40B4-BE49-F238E27FC236}">
              <a16:creationId xmlns:a16="http://schemas.microsoft.com/office/drawing/2014/main" id="{5BD48C60-A6D0-46BF-9815-0EA91DEB67C5}"/>
            </a:ext>
          </a:extLst>
        </xdr:cNvPr>
        <xdr:cNvCxnSpPr/>
      </xdr:nvCxnSpPr>
      <xdr:spPr>
        <a:xfrm>
          <a:off x="1239838" y="4795837"/>
          <a:ext cx="1201737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601662</xdr:colOff>
      <xdr:row>30</xdr:row>
      <xdr:rowOff>7939</xdr:rowOff>
    </xdr:from>
    <xdr:to>
      <xdr:col>4</xdr:col>
      <xdr:colOff>601663</xdr:colOff>
      <xdr:row>33</xdr:row>
      <xdr:rowOff>134938</xdr:rowOff>
    </xdr:to>
    <xdr:sp macro="" textlink="">
      <xdr:nvSpPr>
        <xdr:cNvPr id="56" name="Tekstfelt 55">
          <a:extLst>
            <a:ext uri="{FF2B5EF4-FFF2-40B4-BE49-F238E27FC236}">
              <a16:creationId xmlns:a16="http://schemas.microsoft.com/office/drawing/2014/main" id="{E08C535A-9707-49EB-8C86-A62D454AA012}"/>
            </a:ext>
          </a:extLst>
        </xdr:cNvPr>
        <xdr:cNvSpPr txBox="1"/>
      </xdr:nvSpPr>
      <xdr:spPr>
        <a:xfrm>
          <a:off x="2459037" y="6151564"/>
          <a:ext cx="1222376" cy="674687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1400"/>
            <a:t>Deponi</a:t>
          </a:r>
        </a:p>
      </xdr:txBody>
    </xdr:sp>
    <xdr:clientData/>
  </xdr:twoCellAnchor>
  <xdr:twoCellAnchor>
    <xdr:from>
      <xdr:col>24</xdr:col>
      <xdr:colOff>501651</xdr:colOff>
      <xdr:row>2</xdr:row>
      <xdr:rowOff>104775</xdr:rowOff>
    </xdr:from>
    <xdr:to>
      <xdr:col>26</xdr:col>
      <xdr:colOff>0</xdr:colOff>
      <xdr:row>2</xdr:row>
      <xdr:rowOff>104775</xdr:rowOff>
    </xdr:to>
    <xdr:cxnSp macro="">
      <xdr:nvCxnSpPr>
        <xdr:cNvPr id="60" name="Lige pilforbindelse 59">
          <a:extLst>
            <a:ext uri="{FF2B5EF4-FFF2-40B4-BE49-F238E27FC236}">
              <a16:creationId xmlns:a16="http://schemas.microsoft.com/office/drawing/2014/main" id="{A82DC68B-D32D-4F13-B576-03CA66894DE4}"/>
            </a:ext>
          </a:extLst>
        </xdr:cNvPr>
        <xdr:cNvCxnSpPr/>
      </xdr:nvCxnSpPr>
      <xdr:spPr>
        <a:xfrm>
          <a:off x="12749214" y="628650"/>
          <a:ext cx="1201737" cy="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309564</xdr:colOff>
      <xdr:row>4</xdr:row>
      <xdr:rowOff>122239</xdr:rowOff>
    </xdr:from>
    <xdr:to>
      <xdr:col>26</xdr:col>
      <xdr:colOff>0</xdr:colOff>
      <xdr:row>4</xdr:row>
      <xdr:rowOff>122239</xdr:rowOff>
    </xdr:to>
    <xdr:cxnSp macro="">
      <xdr:nvCxnSpPr>
        <xdr:cNvPr id="61" name="Lige pilforbindelse 60">
          <a:extLst>
            <a:ext uri="{FF2B5EF4-FFF2-40B4-BE49-F238E27FC236}">
              <a16:creationId xmlns:a16="http://schemas.microsoft.com/office/drawing/2014/main" id="{CAE90373-266D-4C81-B650-C076BC24360E}"/>
            </a:ext>
          </a:extLst>
        </xdr:cNvPr>
        <xdr:cNvCxnSpPr/>
      </xdr:nvCxnSpPr>
      <xdr:spPr>
        <a:xfrm>
          <a:off x="13779502" y="1360489"/>
          <a:ext cx="1117599" cy="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60326</xdr:colOff>
      <xdr:row>5</xdr:row>
      <xdr:rowOff>266700</xdr:rowOff>
    </xdr:from>
    <xdr:to>
      <xdr:col>10</xdr:col>
      <xdr:colOff>587375</xdr:colOff>
      <xdr:row>6</xdr:row>
      <xdr:rowOff>0</xdr:rowOff>
    </xdr:to>
    <xdr:cxnSp macro="">
      <xdr:nvCxnSpPr>
        <xdr:cNvPr id="62" name="Lige pilforbindelse 61">
          <a:extLst>
            <a:ext uri="{FF2B5EF4-FFF2-40B4-BE49-F238E27FC236}">
              <a16:creationId xmlns:a16="http://schemas.microsoft.com/office/drawing/2014/main" id="{56F4CB8B-7FDB-41BA-A056-F0A7413E9496}"/>
            </a:ext>
          </a:extLst>
        </xdr:cNvPr>
        <xdr:cNvCxnSpPr/>
      </xdr:nvCxnSpPr>
      <xdr:spPr>
        <a:xfrm>
          <a:off x="6196014" y="1362075"/>
          <a:ext cx="1138236" cy="3175"/>
        </a:xfrm>
        <a:prstGeom prst="straightConnector1">
          <a:avLst/>
        </a:prstGeom>
        <a:ln w="28575">
          <a:prstDash val="sysDash"/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38101</xdr:colOff>
      <xdr:row>10</xdr:row>
      <xdr:rowOff>6350</xdr:rowOff>
    </xdr:from>
    <xdr:to>
      <xdr:col>10</xdr:col>
      <xdr:colOff>579437</xdr:colOff>
      <xdr:row>10</xdr:row>
      <xdr:rowOff>7938</xdr:rowOff>
    </xdr:to>
    <xdr:cxnSp macro="">
      <xdr:nvCxnSpPr>
        <xdr:cNvPr id="64" name="Lige pilforbindelse 63">
          <a:extLst>
            <a:ext uri="{FF2B5EF4-FFF2-40B4-BE49-F238E27FC236}">
              <a16:creationId xmlns:a16="http://schemas.microsoft.com/office/drawing/2014/main" id="{81B1FA13-F92A-4E9F-A43E-5C939BE07D2F}"/>
            </a:ext>
          </a:extLst>
        </xdr:cNvPr>
        <xdr:cNvCxnSpPr/>
      </xdr:nvCxnSpPr>
      <xdr:spPr>
        <a:xfrm>
          <a:off x="6173789" y="2212975"/>
          <a:ext cx="1152523" cy="1588"/>
        </a:xfrm>
        <a:prstGeom prst="straightConnector1">
          <a:avLst/>
        </a:prstGeom>
        <a:ln w="28575">
          <a:prstDash val="sysDash"/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8</xdr:row>
      <xdr:rowOff>0</xdr:rowOff>
    </xdr:from>
    <xdr:to>
      <xdr:col>26</xdr:col>
      <xdr:colOff>0</xdr:colOff>
      <xdr:row>8</xdr:row>
      <xdr:rowOff>182563</xdr:rowOff>
    </xdr:to>
    <xdr:sp macro="" textlink="">
      <xdr:nvSpPr>
        <xdr:cNvPr id="73" name="Rektangel 72">
          <a:extLst>
            <a:ext uri="{FF2B5EF4-FFF2-40B4-BE49-F238E27FC236}">
              <a16:creationId xmlns:a16="http://schemas.microsoft.com/office/drawing/2014/main" id="{9203AAEE-0FD5-45C1-B189-CA19348D5125}"/>
            </a:ext>
          </a:extLst>
        </xdr:cNvPr>
        <xdr:cNvSpPr/>
      </xdr:nvSpPr>
      <xdr:spPr>
        <a:xfrm>
          <a:off x="13787438" y="1635125"/>
          <a:ext cx="611187" cy="182563"/>
        </a:xfrm>
        <a:prstGeom prst="rect">
          <a:avLst/>
        </a:prstGeom>
        <a:solidFill>
          <a:sysClr val="window" lastClr="FFFFFF"/>
        </a:solidFill>
        <a:ln w="6350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24</xdr:col>
      <xdr:colOff>309562</xdr:colOff>
      <xdr:row>9</xdr:row>
      <xdr:rowOff>174625</xdr:rowOff>
    </xdr:from>
    <xdr:to>
      <xdr:col>26</xdr:col>
      <xdr:colOff>15875</xdr:colOff>
      <xdr:row>11</xdr:row>
      <xdr:rowOff>39688</xdr:rowOff>
    </xdr:to>
    <xdr:sp macro="" textlink="">
      <xdr:nvSpPr>
        <xdr:cNvPr id="74" name="Ellipse 73">
          <a:extLst>
            <a:ext uri="{FF2B5EF4-FFF2-40B4-BE49-F238E27FC236}">
              <a16:creationId xmlns:a16="http://schemas.microsoft.com/office/drawing/2014/main" id="{F5426CFD-552E-49C2-AC86-9F4883469417}"/>
            </a:ext>
          </a:extLst>
        </xdr:cNvPr>
        <xdr:cNvSpPr/>
      </xdr:nvSpPr>
      <xdr:spPr>
        <a:xfrm>
          <a:off x="13779500" y="2000250"/>
          <a:ext cx="635000" cy="246063"/>
        </a:xfrm>
        <a:prstGeom prst="ellipse">
          <a:avLst/>
        </a:prstGeom>
        <a:solidFill>
          <a:sysClr val="window" lastClr="FFFFFF"/>
        </a:solid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25</xdr:col>
      <xdr:colOff>9526</xdr:colOff>
      <xdr:row>12</xdr:row>
      <xdr:rowOff>9525</xdr:rowOff>
    </xdr:from>
    <xdr:to>
      <xdr:col>26</xdr:col>
      <xdr:colOff>9526</xdr:colOff>
      <xdr:row>13</xdr:row>
      <xdr:rowOff>1588</xdr:rowOff>
    </xdr:to>
    <xdr:sp macro="" textlink="">
      <xdr:nvSpPr>
        <xdr:cNvPr id="75" name="Rektangel 74">
          <a:extLst>
            <a:ext uri="{FF2B5EF4-FFF2-40B4-BE49-F238E27FC236}">
              <a16:creationId xmlns:a16="http://schemas.microsoft.com/office/drawing/2014/main" id="{95CEB177-CBAE-4C3E-9DD3-5F50713FEFAA}"/>
            </a:ext>
          </a:extLst>
        </xdr:cNvPr>
        <xdr:cNvSpPr/>
      </xdr:nvSpPr>
      <xdr:spPr>
        <a:xfrm>
          <a:off x="13796964" y="2406650"/>
          <a:ext cx="611187" cy="18256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25</xdr:col>
      <xdr:colOff>3176</xdr:colOff>
      <xdr:row>14</xdr:row>
      <xdr:rowOff>11112</xdr:rowOff>
    </xdr:from>
    <xdr:to>
      <xdr:col>26</xdr:col>
      <xdr:colOff>3176</xdr:colOff>
      <xdr:row>15</xdr:row>
      <xdr:rowOff>7937</xdr:rowOff>
    </xdr:to>
    <xdr:sp macro="" textlink="">
      <xdr:nvSpPr>
        <xdr:cNvPr id="76" name="Rektangel 75">
          <a:extLst>
            <a:ext uri="{FF2B5EF4-FFF2-40B4-BE49-F238E27FC236}">
              <a16:creationId xmlns:a16="http://schemas.microsoft.com/office/drawing/2014/main" id="{1259BC19-E16E-4E03-99BC-98E2ADF23033}"/>
            </a:ext>
          </a:extLst>
        </xdr:cNvPr>
        <xdr:cNvSpPr/>
      </xdr:nvSpPr>
      <xdr:spPr>
        <a:xfrm>
          <a:off x="13790614" y="2844800"/>
          <a:ext cx="611187" cy="18732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7</xdr:col>
      <xdr:colOff>565149</xdr:colOff>
      <xdr:row>11</xdr:row>
      <xdr:rowOff>142875</xdr:rowOff>
    </xdr:from>
    <xdr:to>
      <xdr:col>8</xdr:col>
      <xdr:colOff>603252</xdr:colOff>
      <xdr:row>14</xdr:row>
      <xdr:rowOff>111127</xdr:rowOff>
    </xdr:to>
    <xdr:cxnSp macro="">
      <xdr:nvCxnSpPr>
        <xdr:cNvPr id="83" name="Forbindelse: vinklet 82">
          <a:extLst>
            <a:ext uri="{FF2B5EF4-FFF2-40B4-BE49-F238E27FC236}">
              <a16:creationId xmlns:a16="http://schemas.microsoft.com/office/drawing/2014/main" id="{97941222-3AAC-4EC9-B67A-A38D0864F5B5}"/>
            </a:ext>
          </a:extLst>
        </xdr:cNvPr>
        <xdr:cNvCxnSpPr>
          <a:stCxn id="9" idx="4"/>
        </xdr:cNvCxnSpPr>
      </xdr:nvCxnSpPr>
      <xdr:spPr>
        <a:xfrm rot="16200000" flipH="1">
          <a:off x="5533231" y="2509044"/>
          <a:ext cx="539752" cy="649290"/>
        </a:xfrm>
        <a:prstGeom prst="bentConnector2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590549</xdr:colOff>
      <xdr:row>37</xdr:row>
      <xdr:rowOff>7937</xdr:rowOff>
    </xdr:from>
    <xdr:to>
      <xdr:col>11</xdr:col>
      <xdr:colOff>23812</xdr:colOff>
      <xdr:row>37</xdr:row>
      <xdr:rowOff>16670</xdr:rowOff>
    </xdr:to>
    <xdr:cxnSp macro="">
      <xdr:nvCxnSpPr>
        <xdr:cNvPr id="94" name="Lige pilforbindelse 93">
          <a:extLst>
            <a:ext uri="{FF2B5EF4-FFF2-40B4-BE49-F238E27FC236}">
              <a16:creationId xmlns:a16="http://schemas.microsoft.com/office/drawing/2014/main" id="{AE5163AA-9B7B-4507-8937-DDA3502B7AAA}"/>
            </a:ext>
          </a:extLst>
        </xdr:cNvPr>
        <xdr:cNvCxnSpPr>
          <a:stCxn id="99" idx="6"/>
        </xdr:cNvCxnSpPr>
      </xdr:nvCxnSpPr>
      <xdr:spPr>
        <a:xfrm flipV="1">
          <a:off x="6115049" y="7508875"/>
          <a:ext cx="1266826" cy="8733"/>
        </a:xfrm>
        <a:prstGeom prst="straightConnector1">
          <a:avLst/>
        </a:prstGeom>
        <a:ln w="28575">
          <a:prstDash val="solid"/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446086</xdr:colOff>
      <xdr:row>35</xdr:row>
      <xdr:rowOff>1589</xdr:rowOff>
    </xdr:from>
    <xdr:to>
      <xdr:col>8</xdr:col>
      <xdr:colOff>590549</xdr:colOff>
      <xdr:row>38</xdr:row>
      <xdr:rowOff>222251</xdr:rowOff>
    </xdr:to>
    <xdr:sp macro="" textlink="">
      <xdr:nvSpPr>
        <xdr:cNvPr id="99" name="Ellipse 98">
          <a:extLst>
            <a:ext uri="{FF2B5EF4-FFF2-40B4-BE49-F238E27FC236}">
              <a16:creationId xmlns:a16="http://schemas.microsoft.com/office/drawing/2014/main" id="{761A1487-E160-4C5B-9D5C-2E31E4CCF663}"/>
            </a:ext>
          </a:extLst>
        </xdr:cNvPr>
        <xdr:cNvSpPr/>
      </xdr:nvSpPr>
      <xdr:spPr>
        <a:xfrm>
          <a:off x="4748211" y="7121527"/>
          <a:ext cx="1366838" cy="792162"/>
        </a:xfrm>
        <a:prstGeom prst="ellipse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a-DK" sz="1400">
              <a:solidFill>
                <a:sysClr val="windowText" lastClr="000000"/>
              </a:solidFill>
            </a:rPr>
            <a:t>El net i udlandet</a:t>
          </a:r>
        </a:p>
      </xdr:txBody>
    </xdr:sp>
    <xdr:clientData/>
  </xdr:twoCellAnchor>
  <xdr:twoCellAnchor>
    <xdr:from>
      <xdr:col>25</xdr:col>
      <xdr:colOff>9526</xdr:colOff>
      <xdr:row>6</xdr:row>
      <xdr:rowOff>112712</xdr:rowOff>
    </xdr:from>
    <xdr:to>
      <xdr:col>26</xdr:col>
      <xdr:colOff>15875</xdr:colOff>
      <xdr:row>6</xdr:row>
      <xdr:rowOff>112712</xdr:rowOff>
    </xdr:to>
    <xdr:cxnSp macro="">
      <xdr:nvCxnSpPr>
        <xdr:cNvPr id="105" name="Lige pilforbindelse 104">
          <a:extLst>
            <a:ext uri="{FF2B5EF4-FFF2-40B4-BE49-F238E27FC236}">
              <a16:creationId xmlns:a16="http://schemas.microsoft.com/office/drawing/2014/main" id="{BFC68AEF-D663-42F0-A7FF-2106A60C8527}"/>
            </a:ext>
          </a:extLst>
        </xdr:cNvPr>
        <xdr:cNvCxnSpPr/>
      </xdr:nvCxnSpPr>
      <xdr:spPr>
        <a:xfrm>
          <a:off x="13796964" y="1747837"/>
          <a:ext cx="617536" cy="0"/>
        </a:xfrm>
        <a:prstGeom prst="straightConnector1">
          <a:avLst/>
        </a:prstGeom>
        <a:ln w="28575">
          <a:solidFill>
            <a:schemeClr val="bg2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7937</xdr:colOff>
      <xdr:row>31</xdr:row>
      <xdr:rowOff>1</xdr:rowOff>
    </xdr:from>
    <xdr:to>
      <xdr:col>11</xdr:col>
      <xdr:colOff>0</xdr:colOff>
      <xdr:row>31</xdr:row>
      <xdr:rowOff>15875</xdr:rowOff>
    </xdr:to>
    <xdr:cxnSp macro="">
      <xdr:nvCxnSpPr>
        <xdr:cNvPr id="108" name="Lige pilforbindelse 107">
          <a:extLst>
            <a:ext uri="{FF2B5EF4-FFF2-40B4-BE49-F238E27FC236}">
              <a16:creationId xmlns:a16="http://schemas.microsoft.com/office/drawing/2014/main" id="{26B93AE9-4135-41F3-94B8-C43884A2B883}"/>
            </a:ext>
          </a:extLst>
        </xdr:cNvPr>
        <xdr:cNvCxnSpPr/>
      </xdr:nvCxnSpPr>
      <xdr:spPr>
        <a:xfrm flipV="1">
          <a:off x="3698875" y="6334126"/>
          <a:ext cx="3659188" cy="15874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23812</xdr:colOff>
      <xdr:row>29</xdr:row>
      <xdr:rowOff>0</xdr:rowOff>
    </xdr:from>
    <xdr:to>
      <xdr:col>3</xdr:col>
      <xdr:colOff>601662</xdr:colOff>
      <xdr:row>30</xdr:row>
      <xdr:rowOff>7939</xdr:rowOff>
    </xdr:to>
    <xdr:cxnSp macro="">
      <xdr:nvCxnSpPr>
        <xdr:cNvPr id="24" name="Forbindelse: vinklet 23">
          <a:extLst>
            <a:ext uri="{FF2B5EF4-FFF2-40B4-BE49-F238E27FC236}">
              <a16:creationId xmlns:a16="http://schemas.microsoft.com/office/drawing/2014/main" id="{C61E88BD-3123-4E71-9A54-27C6032B7EB0}"/>
            </a:ext>
          </a:extLst>
        </xdr:cNvPr>
        <xdr:cNvCxnSpPr>
          <a:endCxn id="56" idx="0"/>
        </xdr:cNvCxnSpPr>
      </xdr:nvCxnSpPr>
      <xdr:spPr>
        <a:xfrm>
          <a:off x="1270000" y="5953125"/>
          <a:ext cx="1800225" cy="198439"/>
        </a:xfrm>
        <a:prstGeom prst="bentConnector2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246063</xdr:colOff>
      <xdr:row>26</xdr:row>
      <xdr:rowOff>230188</xdr:rowOff>
    </xdr:from>
    <xdr:to>
      <xdr:col>11</xdr:col>
      <xdr:colOff>23812</xdr:colOff>
      <xdr:row>29</xdr:row>
      <xdr:rowOff>182563</xdr:rowOff>
    </xdr:to>
    <xdr:cxnSp macro="">
      <xdr:nvCxnSpPr>
        <xdr:cNvPr id="27" name="Forbindelse: vinklet 26">
          <a:extLst>
            <a:ext uri="{FF2B5EF4-FFF2-40B4-BE49-F238E27FC236}">
              <a16:creationId xmlns:a16="http://schemas.microsoft.com/office/drawing/2014/main" id="{B704EC71-A602-4CEE-AEB1-4D39E923A5F7}"/>
            </a:ext>
          </a:extLst>
        </xdr:cNvPr>
        <xdr:cNvCxnSpPr/>
      </xdr:nvCxnSpPr>
      <xdr:spPr>
        <a:xfrm flipV="1">
          <a:off x="3325813" y="5564188"/>
          <a:ext cx="4056062" cy="571500"/>
        </a:xfrm>
        <a:prstGeom prst="bentConnector3">
          <a:avLst>
            <a:gd name="adj1" fmla="val -98"/>
          </a:avLst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603250</xdr:colOff>
      <xdr:row>35</xdr:row>
      <xdr:rowOff>49213</xdr:rowOff>
    </xdr:from>
    <xdr:to>
      <xdr:col>4</xdr:col>
      <xdr:colOff>603251</xdr:colOff>
      <xdr:row>38</xdr:row>
      <xdr:rowOff>152400</xdr:rowOff>
    </xdr:to>
    <xdr:sp macro="" textlink="">
      <xdr:nvSpPr>
        <xdr:cNvPr id="57" name="Tekstfelt 56">
          <a:extLst>
            <a:ext uri="{FF2B5EF4-FFF2-40B4-BE49-F238E27FC236}">
              <a16:creationId xmlns:a16="http://schemas.microsoft.com/office/drawing/2014/main" id="{D94D9DD7-64E1-4E09-BF37-F0D594044297}"/>
            </a:ext>
          </a:extLst>
        </xdr:cNvPr>
        <xdr:cNvSpPr txBox="1"/>
      </xdr:nvSpPr>
      <xdr:spPr>
        <a:xfrm>
          <a:off x="2460625" y="7169151"/>
          <a:ext cx="1222376" cy="674687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a-DK" sz="1400"/>
            <a:t>Gasmotor </a:t>
          </a:r>
        </a:p>
        <a:p>
          <a:pPr algn="ctr"/>
          <a:r>
            <a:rPr lang="da-DK" sz="1400"/>
            <a:t>el-produktion</a:t>
          </a:r>
        </a:p>
      </xdr:txBody>
    </xdr:sp>
    <xdr:clientData/>
  </xdr:twoCellAnchor>
  <xdr:twoCellAnchor>
    <xdr:from>
      <xdr:col>3</xdr:col>
      <xdr:colOff>601662</xdr:colOff>
      <xdr:row>33</xdr:row>
      <xdr:rowOff>134938</xdr:rowOff>
    </xdr:from>
    <xdr:to>
      <xdr:col>3</xdr:col>
      <xdr:colOff>603250</xdr:colOff>
      <xdr:row>35</xdr:row>
      <xdr:rowOff>49213</xdr:rowOff>
    </xdr:to>
    <xdr:cxnSp macro="">
      <xdr:nvCxnSpPr>
        <xdr:cNvPr id="32" name="Lige pilforbindelse 31">
          <a:extLst>
            <a:ext uri="{FF2B5EF4-FFF2-40B4-BE49-F238E27FC236}">
              <a16:creationId xmlns:a16="http://schemas.microsoft.com/office/drawing/2014/main" id="{B8730E75-3278-4044-BD4E-846A010DBA26}"/>
            </a:ext>
          </a:extLst>
        </xdr:cNvPr>
        <xdr:cNvCxnSpPr>
          <a:stCxn id="56" idx="2"/>
          <a:endCxn id="57" idx="0"/>
        </xdr:cNvCxnSpPr>
      </xdr:nvCxnSpPr>
      <xdr:spPr>
        <a:xfrm>
          <a:off x="3070225" y="6826251"/>
          <a:ext cx="1588" cy="342900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9525</xdr:colOff>
      <xdr:row>37</xdr:row>
      <xdr:rowOff>7937</xdr:rowOff>
    </xdr:from>
    <xdr:to>
      <xdr:col>6</xdr:col>
      <xdr:colOff>420688</xdr:colOff>
      <xdr:row>37</xdr:row>
      <xdr:rowOff>9524</xdr:rowOff>
    </xdr:to>
    <xdr:cxnSp macro="">
      <xdr:nvCxnSpPr>
        <xdr:cNvPr id="58" name="Lige pilforbindelse 57">
          <a:extLst>
            <a:ext uri="{FF2B5EF4-FFF2-40B4-BE49-F238E27FC236}">
              <a16:creationId xmlns:a16="http://schemas.microsoft.com/office/drawing/2014/main" id="{31CF6668-881B-46A0-A635-BB305B1BA979}"/>
            </a:ext>
          </a:extLst>
        </xdr:cNvPr>
        <xdr:cNvCxnSpPr/>
      </xdr:nvCxnSpPr>
      <xdr:spPr>
        <a:xfrm flipV="1">
          <a:off x="3700463" y="7508875"/>
          <a:ext cx="1022350" cy="1587"/>
        </a:xfrm>
        <a:prstGeom prst="straightConnector1">
          <a:avLst/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238125</xdr:colOff>
      <xdr:row>38</xdr:row>
      <xdr:rowOff>150812</xdr:rowOff>
    </xdr:from>
    <xdr:to>
      <xdr:col>11</xdr:col>
      <xdr:colOff>7937</xdr:colOff>
      <xdr:row>39</xdr:row>
      <xdr:rowOff>7937</xdr:rowOff>
    </xdr:to>
    <xdr:cxnSp macro="">
      <xdr:nvCxnSpPr>
        <xdr:cNvPr id="37" name="Forbindelse: vinklet 36">
          <a:extLst>
            <a:ext uri="{FF2B5EF4-FFF2-40B4-BE49-F238E27FC236}">
              <a16:creationId xmlns:a16="http://schemas.microsoft.com/office/drawing/2014/main" id="{1F107F3F-8236-44F6-AEAE-A346C6B7ACA4}"/>
            </a:ext>
          </a:extLst>
        </xdr:cNvPr>
        <xdr:cNvCxnSpPr/>
      </xdr:nvCxnSpPr>
      <xdr:spPr>
        <a:xfrm>
          <a:off x="3317875" y="7842250"/>
          <a:ext cx="4048125" cy="254000"/>
        </a:xfrm>
        <a:prstGeom prst="bentConnector3">
          <a:avLst>
            <a:gd name="adj1" fmla="val 0"/>
          </a:avLst>
        </a:prstGeom>
        <a:ln w="28575">
          <a:prstDash val="sys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061C8-E191-4FF6-8B60-2B13A84131C9}">
  <dimension ref="A1:AI45"/>
  <sheetViews>
    <sheetView tabSelected="1" zoomScale="90" zoomScaleNormal="90" workbookViewId="0">
      <selection activeCell="C11" sqref="C11"/>
    </sheetView>
  </sheetViews>
  <sheetFormatPr defaultRowHeight="15" x14ac:dyDescent="0.25"/>
  <cols>
    <col min="1" max="1" width="18.7109375" customWidth="1"/>
    <col min="7" max="7" width="9.140625" customWidth="1"/>
    <col min="12" max="12" width="4" customWidth="1"/>
    <col min="13" max="13" width="1.42578125" style="37" customWidth="1"/>
    <col min="14" max="14" width="3.5703125" style="14" customWidth="1"/>
    <col min="15" max="15" width="10" customWidth="1"/>
    <col min="17" max="17" width="10" customWidth="1"/>
    <col min="18" max="18" width="1.42578125" customWidth="1"/>
    <col min="23" max="23" width="11.28515625" customWidth="1"/>
    <col min="24" max="24" width="1.85546875" style="37" customWidth="1"/>
    <col min="25" max="25" width="2" customWidth="1"/>
    <col min="31" max="31" width="16.5703125" customWidth="1"/>
    <col min="32" max="32" width="9.85546875" customWidth="1"/>
    <col min="34" max="34" width="11" customWidth="1"/>
    <col min="35" max="35" width="1.85546875" style="37" customWidth="1"/>
  </cols>
  <sheetData>
    <row r="1" spans="1:31" ht="26.25" x14ac:dyDescent="0.4">
      <c r="A1" s="32" t="s">
        <v>50</v>
      </c>
      <c r="O1" s="89" t="s">
        <v>62</v>
      </c>
      <c r="P1" s="89"/>
      <c r="Q1" s="89"/>
      <c r="R1" s="89"/>
      <c r="S1" s="89"/>
      <c r="T1" s="89"/>
      <c r="Z1" s="89" t="s">
        <v>85</v>
      </c>
      <c r="AA1" s="89"/>
      <c r="AB1" s="89"/>
      <c r="AC1" s="89"/>
      <c r="AD1" s="89"/>
    </row>
    <row r="2" spans="1:31" ht="18.75" customHeight="1" x14ac:dyDescent="0.25">
      <c r="F2" s="28"/>
      <c r="G2" s="28"/>
      <c r="H2" s="80" t="s">
        <v>58</v>
      </c>
      <c r="I2" s="80"/>
      <c r="O2" s="1" t="s">
        <v>63</v>
      </c>
      <c r="R2" s="60"/>
      <c r="S2" s="1" t="s">
        <v>64</v>
      </c>
    </row>
    <row r="3" spans="1:31" x14ac:dyDescent="0.25">
      <c r="C3" s="6"/>
      <c r="D3" s="6"/>
      <c r="E3" s="6"/>
      <c r="F3" s="6"/>
      <c r="G3" s="6"/>
      <c r="H3" s="79">
        <f>F6*'Biogas data'!D16/100</f>
        <v>14.31602984924581</v>
      </c>
      <c r="I3" s="79"/>
      <c r="O3" s="24">
        <f>F6*'Biogas data'!D16/100</f>
        <v>14.31602984924581</v>
      </c>
      <c r="P3" s="28" t="s">
        <v>58</v>
      </c>
      <c r="Q3" s="28"/>
      <c r="R3" s="60"/>
      <c r="S3" t="s">
        <v>65</v>
      </c>
      <c r="AA3" s="13" t="s">
        <v>86</v>
      </c>
    </row>
    <row r="4" spans="1:31" x14ac:dyDescent="0.25">
      <c r="D4" s="6"/>
      <c r="E4" s="6"/>
      <c r="J4" s="90" t="s">
        <v>59</v>
      </c>
      <c r="K4" s="90"/>
      <c r="O4" s="31">
        <f>O3*'Biogas data'!D11*'Ækvivalens &amp; Emissionsfaktorer'!D3</f>
        <v>287.40861525345883</v>
      </c>
      <c r="P4" s="2" t="s">
        <v>67</v>
      </c>
      <c r="Q4" s="27"/>
      <c r="R4" s="60"/>
      <c r="S4" t="s">
        <v>65</v>
      </c>
    </row>
    <row r="5" spans="1:31" ht="20.25" customHeight="1" x14ac:dyDescent="0.25">
      <c r="B5" s="80" t="s">
        <v>46</v>
      </c>
      <c r="C5" s="80"/>
      <c r="D5" s="21"/>
      <c r="E5" s="21"/>
      <c r="F5" s="84" t="s">
        <v>47</v>
      </c>
      <c r="G5" s="84"/>
      <c r="J5" s="90"/>
      <c r="K5" s="90"/>
      <c r="L5" s="22"/>
      <c r="O5" s="1" t="s">
        <v>69</v>
      </c>
      <c r="R5" s="60"/>
      <c r="AA5" s="13" t="s">
        <v>87</v>
      </c>
    </row>
    <row r="6" spans="1:31" ht="16.5" customHeight="1" x14ac:dyDescent="0.25">
      <c r="A6" s="86" t="s">
        <v>45</v>
      </c>
      <c r="B6" s="87">
        <v>6600</v>
      </c>
      <c r="C6" s="87"/>
      <c r="D6" s="21"/>
      <c r="E6" s="21"/>
      <c r="F6" s="85">
        <f>B6*'Biogas data'!D15</f>
        <v>1431.6029849245811</v>
      </c>
      <c r="G6" s="85"/>
      <c r="J6" s="85">
        <f>-F6</f>
        <v>-1431.6029849245811</v>
      </c>
      <c r="K6" s="85"/>
      <c r="L6" s="35"/>
      <c r="O6" s="23">
        <f>-F6</f>
        <v>-1431.6029849245811</v>
      </c>
      <c r="P6" s="2" t="s">
        <v>68</v>
      </c>
      <c r="Q6" s="2"/>
      <c r="R6" s="60"/>
      <c r="S6" t="s">
        <v>66</v>
      </c>
    </row>
    <row r="7" spans="1:31" x14ac:dyDescent="0.25">
      <c r="A7" s="86"/>
      <c r="C7" s="6"/>
      <c r="D7" s="21"/>
      <c r="E7" s="21"/>
      <c r="F7" s="21"/>
      <c r="G7" s="6"/>
      <c r="O7" s="23">
        <f>O6*'Biogas data'!D23</f>
        <v>-3075.0832116180004</v>
      </c>
      <c r="P7" s="2" t="s">
        <v>67</v>
      </c>
      <c r="Q7" s="2"/>
      <c r="R7" s="60"/>
      <c r="S7" t="s">
        <v>66</v>
      </c>
      <c r="AA7" s="13" t="s">
        <v>88</v>
      </c>
    </row>
    <row r="8" spans="1:31" x14ac:dyDescent="0.25">
      <c r="C8" s="6"/>
      <c r="D8" s="6"/>
      <c r="E8" s="6"/>
      <c r="F8" s="6"/>
      <c r="G8" s="6"/>
      <c r="O8" s="45"/>
      <c r="P8" s="30"/>
      <c r="Q8" s="1"/>
      <c r="R8" s="61"/>
      <c r="S8" s="1"/>
      <c r="T8" s="1"/>
    </row>
    <row r="9" spans="1:31" x14ac:dyDescent="0.25">
      <c r="C9" s="6"/>
      <c r="D9" s="6"/>
      <c r="E9" s="6"/>
      <c r="F9" s="6"/>
      <c r="G9" s="6"/>
      <c r="O9" s="1" t="s">
        <v>97</v>
      </c>
      <c r="R9" s="60"/>
      <c r="Z9" s="6"/>
      <c r="AA9" s="13" t="s">
        <v>89</v>
      </c>
    </row>
    <row r="10" spans="1:31" x14ac:dyDescent="0.25">
      <c r="C10" s="6"/>
      <c r="D10" s="6"/>
      <c r="E10" s="6"/>
      <c r="F10" s="58" t="s">
        <v>60</v>
      </c>
      <c r="G10" s="58"/>
      <c r="J10" s="80" t="s">
        <v>96</v>
      </c>
      <c r="K10" s="80"/>
      <c r="L10" s="19"/>
      <c r="O10" s="25">
        <f>-F11*'Ækvivalens &amp; Emissionsfaktorer'!D6</f>
        <v>-43.294415999999998</v>
      </c>
      <c r="P10" t="s">
        <v>70</v>
      </c>
      <c r="R10" s="60"/>
      <c r="S10" t="s">
        <v>66</v>
      </c>
    </row>
    <row r="11" spans="1:31" ht="19.5" customHeight="1" x14ac:dyDescent="0.25">
      <c r="C11" s="6"/>
      <c r="D11" s="6"/>
      <c r="E11" s="6"/>
      <c r="F11" s="25">
        <f>B6*'Biogas data'!D27</f>
        <v>54.118019999999994</v>
      </c>
      <c r="G11" t="s">
        <v>36</v>
      </c>
      <c r="J11" s="25">
        <f>-F11*'Ækvivalens &amp; Emissionsfaktorer'!D6</f>
        <v>-43.294415999999998</v>
      </c>
      <c r="K11" t="s">
        <v>39</v>
      </c>
      <c r="O11" s="25">
        <f>-F12*'Ækvivalens &amp; Emissionsfaktorer'!D7</f>
        <v>-12.54</v>
      </c>
      <c r="P11" t="s">
        <v>71</v>
      </c>
      <c r="R11" s="60"/>
      <c r="S11" t="s">
        <v>66</v>
      </c>
      <c r="AA11" s="13" t="s">
        <v>169</v>
      </c>
    </row>
    <row r="12" spans="1:31" x14ac:dyDescent="0.25">
      <c r="F12" s="25">
        <f>B6*'Biogas data'!D26</f>
        <v>12.54</v>
      </c>
      <c r="G12" t="s">
        <v>35</v>
      </c>
      <c r="J12" s="25">
        <f>-F12*'Ækvivalens &amp; Emissionsfaktorer'!D7</f>
        <v>-12.54</v>
      </c>
      <c r="K12" t="s">
        <v>35</v>
      </c>
      <c r="O12" s="15"/>
      <c r="R12" s="60"/>
    </row>
    <row r="13" spans="1:31" x14ac:dyDescent="0.25">
      <c r="F13" s="15"/>
      <c r="J13" s="15"/>
      <c r="O13" s="51">
        <f>O10*'Ækvivalens &amp; Emissionsfaktorer'!D10+O11*'Ækvivalens &amp; Emissionsfaktorer'!D11</f>
        <v>-349.85784242112004</v>
      </c>
      <c r="P13" s="26" t="s">
        <v>67</v>
      </c>
      <c r="Q13" s="26"/>
      <c r="R13" s="62"/>
      <c r="S13" s="26" t="s">
        <v>72</v>
      </c>
      <c r="T13" s="26"/>
      <c r="U13" s="26"/>
      <c r="V13" s="26"/>
      <c r="W13" s="26"/>
      <c r="AA13" s="13" t="s">
        <v>40</v>
      </c>
      <c r="AD13" s="65"/>
      <c r="AE13" s="13" t="s">
        <v>101</v>
      </c>
    </row>
    <row r="14" spans="1:31" x14ac:dyDescent="0.25">
      <c r="O14" s="51">
        <f>J15/12*44</f>
        <v>-199.66373591999997</v>
      </c>
      <c r="P14" s="26" t="s">
        <v>67</v>
      </c>
      <c r="Q14" s="26"/>
      <c r="R14" s="62"/>
      <c r="S14" s="26" t="s">
        <v>73</v>
      </c>
      <c r="T14" s="26"/>
      <c r="U14" s="26"/>
      <c r="V14" s="26"/>
      <c r="W14" s="26"/>
    </row>
    <row r="15" spans="1:31" x14ac:dyDescent="0.25">
      <c r="J15" s="20">
        <f>-B6*Affaldssammensætning!C7*Affaldssammensætning!C14*'Biogas data'!D8/100</f>
        <v>-54.453746159999994</v>
      </c>
      <c r="K15" t="s">
        <v>48</v>
      </c>
      <c r="O15" s="1" t="s">
        <v>83</v>
      </c>
      <c r="R15" s="60"/>
      <c r="AA15" s="13" t="s">
        <v>90</v>
      </c>
    </row>
    <row r="16" spans="1:31" ht="18.75" customHeight="1" x14ac:dyDescent="0.25">
      <c r="G16" s="82" t="s">
        <v>49</v>
      </c>
      <c r="H16" s="82"/>
      <c r="I16" s="82"/>
      <c r="O16" s="70">
        <f>O4+O7+O13+O14</f>
        <v>-3337.1961747056616</v>
      </c>
      <c r="P16" s="26" t="s">
        <v>67</v>
      </c>
      <c r="Q16" s="26"/>
      <c r="R16" s="62"/>
      <c r="S16" s="26" t="s">
        <v>74</v>
      </c>
      <c r="T16" s="26"/>
      <c r="U16" s="26"/>
      <c r="V16" s="26"/>
      <c r="W16" s="26"/>
      <c r="AA16" s="13"/>
    </row>
    <row r="17" spans="1:34" ht="8.25" customHeight="1" x14ac:dyDescent="0.25">
      <c r="O17" s="40"/>
      <c r="P17" s="1"/>
      <c r="R17" s="60"/>
      <c r="S17" s="1"/>
    </row>
    <row r="18" spans="1:34" s="37" customFormat="1" ht="8.25" customHeight="1" x14ac:dyDescent="0.25">
      <c r="O18" s="38"/>
      <c r="P18" s="39"/>
      <c r="S18" s="39"/>
    </row>
    <row r="19" spans="1:34" ht="26.25" x14ac:dyDescent="0.4">
      <c r="A19" s="32" t="s">
        <v>51</v>
      </c>
      <c r="H19" s="80" t="s">
        <v>57</v>
      </c>
      <c r="I19" s="80"/>
      <c r="R19" s="60"/>
      <c r="Z19" s="32" t="s">
        <v>91</v>
      </c>
    </row>
    <row r="20" spans="1:34" x14ac:dyDescent="0.25">
      <c r="C20" s="6"/>
      <c r="D20" s="6"/>
      <c r="E20" s="6"/>
      <c r="F20" s="6"/>
      <c r="G20" s="6"/>
      <c r="H20" s="79">
        <f>-B23*Affaldssammensætning!C6/Lossepladsdata!D4*Affaldssammensætning!D24</f>
        <v>656.68925360499998</v>
      </c>
      <c r="I20" s="79"/>
      <c r="O20" s="1" t="s">
        <v>75</v>
      </c>
      <c r="R20" s="60"/>
    </row>
    <row r="21" spans="1:34" ht="18.75" x14ac:dyDescent="0.3">
      <c r="D21" s="6"/>
      <c r="E21" s="6"/>
      <c r="O21" s="23">
        <f>H20/12*44</f>
        <v>2407.8605965516663</v>
      </c>
      <c r="P21" s="2" t="s">
        <v>67</v>
      </c>
      <c r="Q21" s="28"/>
      <c r="R21" s="60"/>
      <c r="S21" t="s">
        <v>65</v>
      </c>
      <c r="Z21" s="92" t="s">
        <v>100</v>
      </c>
      <c r="AA21" s="92"/>
      <c r="AB21" s="92"/>
      <c r="AC21" s="92"/>
    </row>
    <row r="22" spans="1:34" x14ac:dyDescent="0.25">
      <c r="B22" s="80" t="s">
        <v>46</v>
      </c>
      <c r="C22" s="80"/>
      <c r="D22" s="21"/>
      <c r="E22" s="21"/>
      <c r="F22" s="83" t="s">
        <v>56</v>
      </c>
      <c r="G22" s="83"/>
      <c r="H22" s="83"/>
      <c r="O22" s="14"/>
      <c r="P22" s="14"/>
      <c r="Q22" s="14"/>
      <c r="R22" s="60"/>
      <c r="S22" s="14"/>
      <c r="T22" s="14"/>
      <c r="U22" s="14"/>
      <c r="V22" s="14"/>
      <c r="Z22" t="s">
        <v>92</v>
      </c>
      <c r="AF22" s="3">
        <f>-O16</f>
        <v>3337.1961747056616</v>
      </c>
      <c r="AG22" s="91" t="s">
        <v>67</v>
      </c>
      <c r="AH22" s="91"/>
    </row>
    <row r="23" spans="1:34" ht="14.25" customHeight="1" x14ac:dyDescent="0.25">
      <c r="A23" s="86" t="s">
        <v>45</v>
      </c>
      <c r="B23" s="88">
        <f>-B6</f>
        <v>-6600</v>
      </c>
      <c r="C23" s="88"/>
      <c r="D23" s="21"/>
      <c r="E23" s="21"/>
      <c r="F23" s="85">
        <v>0</v>
      </c>
      <c r="G23" s="85"/>
      <c r="O23" s="63" t="s">
        <v>76</v>
      </c>
      <c r="P23" s="44"/>
      <c r="Q23" s="44"/>
      <c r="R23" s="60"/>
      <c r="S23" s="14"/>
      <c r="T23" s="14"/>
      <c r="U23" s="14"/>
      <c r="V23" s="14"/>
      <c r="Z23" t="s">
        <v>93</v>
      </c>
      <c r="AF23" s="72">
        <f>O43</f>
        <v>1261.1746719674534</v>
      </c>
      <c r="AG23" s="91" t="s">
        <v>67</v>
      </c>
      <c r="AH23" s="91"/>
    </row>
    <row r="24" spans="1:34" x14ac:dyDescent="0.25">
      <c r="A24" s="86"/>
      <c r="B24" s="78">
        <f>-B28</f>
        <v>-59250.158219999998</v>
      </c>
      <c r="C24" s="78"/>
      <c r="D24" s="21"/>
      <c r="E24" s="21"/>
      <c r="F24" s="21"/>
      <c r="G24" s="6"/>
      <c r="O24" s="50">
        <f>-F23</f>
        <v>0</v>
      </c>
      <c r="P24" s="76" t="s">
        <v>37</v>
      </c>
      <c r="Q24" s="76"/>
      <c r="R24" s="61"/>
      <c r="S24" s="49" t="s">
        <v>77</v>
      </c>
      <c r="T24" s="46"/>
      <c r="U24" s="14"/>
      <c r="V24" s="14"/>
      <c r="AG24" s="91"/>
      <c r="AH24" s="91"/>
    </row>
    <row r="25" spans="1:34" x14ac:dyDescent="0.25">
      <c r="B25" s="80" t="s">
        <v>55</v>
      </c>
      <c r="C25" s="80"/>
      <c r="D25" s="6"/>
      <c r="E25" s="6"/>
      <c r="F25" s="6"/>
      <c r="G25" s="6"/>
      <c r="O25" s="14"/>
      <c r="P25" s="14"/>
      <c r="Q25" s="14"/>
      <c r="R25" s="60"/>
      <c r="S25" s="14"/>
      <c r="T25" s="14"/>
      <c r="U25" s="14"/>
      <c r="V25" s="14"/>
      <c r="Z25" s="26" t="s">
        <v>94</v>
      </c>
      <c r="AA25" s="26"/>
      <c r="AB25" s="26"/>
      <c r="AC25" s="26"/>
      <c r="AD25" s="26"/>
      <c r="AE25" s="26"/>
      <c r="AF25" s="71">
        <f>AF22-AF23</f>
        <v>2076.0215027382083</v>
      </c>
      <c r="AG25" s="91" t="s">
        <v>67</v>
      </c>
      <c r="AH25" s="91"/>
    </row>
    <row r="26" spans="1:34" x14ac:dyDescent="0.25">
      <c r="C26" s="6"/>
      <c r="D26" s="6"/>
      <c r="E26" s="6"/>
      <c r="F26" s="34"/>
      <c r="G26" s="34"/>
      <c r="O26" s="46" t="s">
        <v>78</v>
      </c>
      <c r="P26" s="14"/>
      <c r="Q26" s="14"/>
      <c r="R26" s="60"/>
      <c r="S26" s="14"/>
      <c r="T26" s="14"/>
      <c r="U26" s="14"/>
      <c r="V26" s="14"/>
    </row>
    <row r="27" spans="1:34" ht="18.75" customHeight="1" x14ac:dyDescent="0.3">
      <c r="B27" s="84" t="s">
        <v>53</v>
      </c>
      <c r="C27" s="84"/>
      <c r="D27" s="84"/>
      <c r="G27" s="80" t="s">
        <v>165</v>
      </c>
      <c r="H27" s="80"/>
      <c r="I27" s="80"/>
      <c r="J27" s="80"/>
      <c r="K27" s="80"/>
      <c r="O27" s="25">
        <f>J28</f>
        <v>-145.43971892217573</v>
      </c>
      <c r="P27" s="74" t="s">
        <v>47</v>
      </c>
      <c r="Q27" s="74"/>
      <c r="R27" s="60"/>
      <c r="S27" s="14" t="s">
        <v>66</v>
      </c>
      <c r="T27" s="14"/>
      <c r="U27" s="14"/>
      <c r="V27" s="14"/>
      <c r="Z27" s="12" t="s">
        <v>95</v>
      </c>
    </row>
    <row r="28" spans="1:34" ht="15" customHeight="1" x14ac:dyDescent="0.25">
      <c r="A28" s="77" t="s">
        <v>54</v>
      </c>
      <c r="B28" s="78">
        <f>-B23*Affaldssammensætning!C6</f>
        <v>59250.158219999998</v>
      </c>
      <c r="C28" s="78"/>
      <c r="J28" s="79">
        <f>B23*Affaldssammensætning!C6/Affaldssammensætning!D23*Lossepladsdata!D12/'Biogas data'!D11</f>
        <v>-145.43971892217573</v>
      </c>
      <c r="K28" s="79"/>
      <c r="O28" s="29">
        <f>O27*'Ækvivalens &amp; Emissionsfaktorer'!D3*'Biogas data'!D11</f>
        <v>-2919.8477970815998</v>
      </c>
      <c r="P28" s="76" t="s">
        <v>67</v>
      </c>
      <c r="Q28" s="76"/>
      <c r="R28" s="60"/>
      <c r="S28" s="14" t="s">
        <v>66</v>
      </c>
      <c r="T28" s="14"/>
      <c r="U28" s="14"/>
      <c r="V28" s="14"/>
      <c r="Z28" t="s">
        <v>98</v>
      </c>
      <c r="AF28" s="64">
        <f>-O10</f>
        <v>43.294415999999998</v>
      </c>
      <c r="AG28" t="s">
        <v>70</v>
      </c>
    </row>
    <row r="29" spans="1:34" ht="15" customHeight="1" x14ac:dyDescent="0.25">
      <c r="A29" s="77"/>
      <c r="G29" s="34"/>
      <c r="O29" s="14"/>
      <c r="P29" s="14"/>
      <c r="Q29" s="14"/>
      <c r="R29" s="60"/>
      <c r="S29" s="14"/>
      <c r="T29" s="14"/>
      <c r="U29" s="14"/>
      <c r="V29" s="14"/>
      <c r="Z29" t="s">
        <v>99</v>
      </c>
      <c r="AF29" s="64">
        <f t="shared" ref="AF29" si="0">-O11</f>
        <v>12.54</v>
      </c>
      <c r="AG29" t="s">
        <v>71</v>
      </c>
    </row>
    <row r="30" spans="1:34" ht="15" customHeight="1" x14ac:dyDescent="0.25">
      <c r="A30" s="77"/>
      <c r="B30" s="83" t="s">
        <v>164</v>
      </c>
      <c r="C30" s="83"/>
      <c r="D30" s="83"/>
      <c r="O30" s="46" t="s">
        <v>79</v>
      </c>
      <c r="P30" s="14"/>
      <c r="Q30" s="14"/>
      <c r="R30" s="60"/>
      <c r="S30" s="14"/>
      <c r="T30" s="14"/>
      <c r="U30" s="14"/>
      <c r="V30" s="14"/>
      <c r="AF30" s="15"/>
    </row>
    <row r="31" spans="1:34" ht="15" customHeight="1" x14ac:dyDescent="0.25">
      <c r="A31" s="66"/>
      <c r="B31" s="78">
        <f>-B28</f>
        <v>-59250.158219999998</v>
      </c>
      <c r="C31" s="78"/>
      <c r="J31" s="76" t="s">
        <v>52</v>
      </c>
      <c r="K31" s="76"/>
      <c r="L31" s="76"/>
      <c r="O31" s="25">
        <f>J32</f>
        <v>459.18872620499997</v>
      </c>
      <c r="P31" s="49" t="s">
        <v>41</v>
      </c>
      <c r="Q31" s="46"/>
      <c r="R31" s="61"/>
      <c r="S31" s="26" t="s">
        <v>80</v>
      </c>
      <c r="T31" s="46"/>
      <c r="U31" s="46"/>
      <c r="V31" s="46"/>
    </row>
    <row r="32" spans="1:34" ht="14.25" customHeight="1" x14ac:dyDescent="0.25">
      <c r="A32" s="41"/>
      <c r="F32" s="42"/>
      <c r="G32" s="43"/>
      <c r="J32" s="79">
        <f>B23*Affaldssammensætning!C6/Affaldssammensætning!D23*-Lossepladsdata!D7</f>
        <v>459.18872620499997</v>
      </c>
      <c r="K32" s="79"/>
      <c r="O32" s="29">
        <f>O31*44/12</f>
        <v>1683.6919960849998</v>
      </c>
      <c r="P32" s="76" t="s">
        <v>37</v>
      </c>
      <c r="Q32" s="76"/>
      <c r="R32" s="61"/>
      <c r="S32" s="26" t="s">
        <v>80</v>
      </c>
      <c r="T32" s="46"/>
      <c r="U32" s="46"/>
      <c r="V32" s="46"/>
    </row>
    <row r="33" spans="1:35" ht="13.5" customHeight="1" x14ac:dyDescent="0.25">
      <c r="A33" s="41"/>
      <c r="F33" s="42"/>
      <c r="G33" s="43"/>
      <c r="O33" s="14"/>
      <c r="P33" s="46"/>
      <c r="Q33" s="46"/>
      <c r="R33" s="61"/>
      <c r="S33" s="46"/>
      <c r="T33" s="46"/>
      <c r="U33" s="46"/>
      <c r="V33" s="46"/>
    </row>
    <row r="34" spans="1:35" ht="17.25" customHeight="1" x14ac:dyDescent="0.25">
      <c r="O34" s="46" t="s">
        <v>81</v>
      </c>
      <c r="P34" s="14"/>
      <c r="Q34" s="14"/>
      <c r="R34" s="60"/>
      <c r="S34" s="14"/>
      <c r="T34" s="14"/>
      <c r="U34" s="14"/>
      <c r="V34" s="14"/>
    </row>
    <row r="35" spans="1:35" ht="16.5" customHeight="1" x14ac:dyDescent="0.4">
      <c r="A35" s="32"/>
      <c r="D35" s="36">
        <f>B23*Lossepladsdata!D14*Affaldssammensætning!C6/Affaldssammensætning!D23/'Biogas data'!D11</f>
        <v>-227.2495608158996</v>
      </c>
      <c r="E35" t="s">
        <v>167</v>
      </c>
      <c r="O35" s="29">
        <f>J38</f>
        <v>2790.4882570827572</v>
      </c>
      <c r="P35" t="s">
        <v>61</v>
      </c>
      <c r="R35" s="60"/>
      <c r="S35" t="s">
        <v>65</v>
      </c>
    </row>
    <row r="36" spans="1:35" x14ac:dyDescent="0.25">
      <c r="O36" s="25">
        <f>J38*'Ækvivalens &amp; Emissionsfaktorer'!D14</f>
        <v>180.71512007118719</v>
      </c>
      <c r="P36" s="76" t="s">
        <v>67</v>
      </c>
      <c r="Q36" s="76"/>
      <c r="R36" s="60"/>
      <c r="S36" t="s">
        <v>65</v>
      </c>
    </row>
    <row r="37" spans="1:35" x14ac:dyDescent="0.25">
      <c r="F37" s="80" t="s">
        <v>61</v>
      </c>
      <c r="G37" s="80"/>
      <c r="J37" s="80" t="s">
        <v>61</v>
      </c>
      <c r="K37" s="80"/>
      <c r="O37" s="15"/>
      <c r="P37" s="2"/>
      <c r="Q37" s="2"/>
      <c r="R37" s="60"/>
    </row>
    <row r="38" spans="1:35" x14ac:dyDescent="0.25">
      <c r="F38" s="81">
        <f>D35*'Biogas data'!D9*(1-Lossepladsdata!D15)*Lossepladsdata!D17</f>
        <v>-2790.4882570827572</v>
      </c>
      <c r="G38" s="81"/>
      <c r="J38" s="81">
        <f>-F38</f>
        <v>2790.4882570827572</v>
      </c>
      <c r="K38" s="81"/>
      <c r="O38" s="1" t="s">
        <v>168</v>
      </c>
      <c r="R38" s="60"/>
    </row>
    <row r="39" spans="1:35" ht="31.5" customHeight="1" x14ac:dyDescent="0.25">
      <c r="G39" s="82" t="s">
        <v>166</v>
      </c>
      <c r="H39" s="82"/>
      <c r="I39" s="82"/>
      <c r="J39" s="82"/>
      <c r="K39" s="82"/>
      <c r="O39" s="69">
        <f>J40</f>
        <v>-4.5449912163179924</v>
      </c>
      <c r="P39" s="74" t="s">
        <v>47</v>
      </c>
      <c r="Q39" s="74"/>
      <c r="R39" s="60"/>
      <c r="S39" s="14" t="s">
        <v>66</v>
      </c>
    </row>
    <row r="40" spans="1:35" ht="18.75" customHeight="1" x14ac:dyDescent="0.25">
      <c r="J40" s="73">
        <f>D35*Lossepladsdata!D15</f>
        <v>-4.5449912163179924</v>
      </c>
      <c r="K40" s="73"/>
      <c r="O40" s="25">
        <f>O39*'Ækvivalens &amp; Emissionsfaktorer'!D3*'Biogas data'!D11</f>
        <v>-91.245243658800007</v>
      </c>
      <c r="P40" s="76" t="s">
        <v>67</v>
      </c>
      <c r="Q40" s="76"/>
      <c r="R40" s="60"/>
      <c r="S40" s="14" t="s">
        <v>66</v>
      </c>
    </row>
    <row r="41" spans="1:35" ht="15.75" customHeight="1" x14ac:dyDescent="0.25">
      <c r="J41" s="67"/>
      <c r="K41" s="67"/>
      <c r="R41" s="60"/>
    </row>
    <row r="42" spans="1:35" s="14" customFormat="1" ht="14.25" customHeight="1" x14ac:dyDescent="0.25">
      <c r="M42" s="37"/>
      <c r="O42" s="1" t="s">
        <v>82</v>
      </c>
      <c r="P42" s="2"/>
      <c r="Q42" s="2"/>
      <c r="R42" s="60"/>
      <c r="S42"/>
      <c r="T42"/>
      <c r="U42"/>
      <c r="V42"/>
      <c r="W42"/>
      <c r="X42" s="37"/>
      <c r="AI42" s="37"/>
    </row>
    <row r="43" spans="1:35" ht="31.5" customHeight="1" x14ac:dyDescent="0.25">
      <c r="O43" s="70">
        <f>O36+O32+O28+O21+O40</f>
        <v>1261.1746719674534</v>
      </c>
      <c r="P43" s="68" t="s">
        <v>67</v>
      </c>
      <c r="Q43" s="68"/>
      <c r="R43" s="62"/>
      <c r="S43" s="75" t="s">
        <v>84</v>
      </c>
      <c r="T43" s="75"/>
      <c r="U43" s="75"/>
      <c r="V43" s="75"/>
      <c r="W43" s="75"/>
    </row>
    <row r="44" spans="1:35" x14ac:dyDescent="0.25">
      <c r="R44" s="60"/>
    </row>
    <row r="45" spans="1:35" s="37" customFormat="1" ht="9" customHeight="1" x14ac:dyDescent="0.25"/>
  </sheetData>
  <mergeCells count="50">
    <mergeCell ref="AG22:AH22"/>
    <mergeCell ref="AG23:AH23"/>
    <mergeCell ref="AG24:AH24"/>
    <mergeCell ref="AG25:AH25"/>
    <mergeCell ref="Z1:AD1"/>
    <mergeCell ref="Z21:AC21"/>
    <mergeCell ref="P27:Q27"/>
    <mergeCell ref="P24:Q24"/>
    <mergeCell ref="P32:Q32"/>
    <mergeCell ref="P36:Q36"/>
    <mergeCell ref="J28:K28"/>
    <mergeCell ref="J31:L31"/>
    <mergeCell ref="O1:T1"/>
    <mergeCell ref="F23:G23"/>
    <mergeCell ref="G16:I16"/>
    <mergeCell ref="J4:K5"/>
    <mergeCell ref="H2:I2"/>
    <mergeCell ref="A23:A24"/>
    <mergeCell ref="A6:A7"/>
    <mergeCell ref="F6:G6"/>
    <mergeCell ref="B6:C6"/>
    <mergeCell ref="B23:C23"/>
    <mergeCell ref="B27:D27"/>
    <mergeCell ref="B25:C25"/>
    <mergeCell ref="B24:C24"/>
    <mergeCell ref="F22:H22"/>
    <mergeCell ref="H3:I3"/>
    <mergeCell ref="G27:K27"/>
    <mergeCell ref="B22:C22"/>
    <mergeCell ref="B5:C5"/>
    <mergeCell ref="F5:G5"/>
    <mergeCell ref="J6:K6"/>
    <mergeCell ref="J10:K10"/>
    <mergeCell ref="H19:I19"/>
    <mergeCell ref="H20:I20"/>
    <mergeCell ref="J40:K40"/>
    <mergeCell ref="P39:Q39"/>
    <mergeCell ref="S43:W43"/>
    <mergeCell ref="P40:Q40"/>
    <mergeCell ref="A28:A30"/>
    <mergeCell ref="B31:C31"/>
    <mergeCell ref="J32:K32"/>
    <mergeCell ref="F37:G37"/>
    <mergeCell ref="F38:G38"/>
    <mergeCell ref="G39:K39"/>
    <mergeCell ref="B28:C28"/>
    <mergeCell ref="B30:D30"/>
    <mergeCell ref="J38:K38"/>
    <mergeCell ref="P28:Q28"/>
    <mergeCell ref="J37:K3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9F7B1-A4DA-4146-99BF-5C4A4DE02735}">
  <dimension ref="B1:G34"/>
  <sheetViews>
    <sheetView topLeftCell="A4" zoomScale="120" zoomScaleNormal="120" workbookViewId="0">
      <selection activeCell="B13" sqref="B13"/>
    </sheetView>
  </sheetViews>
  <sheetFormatPr defaultRowHeight="15" x14ac:dyDescent="0.25"/>
  <cols>
    <col min="2" max="2" width="29.140625" customWidth="1"/>
    <col min="3" max="3" width="13.140625" customWidth="1"/>
    <col min="4" max="4" width="15.7109375" customWidth="1"/>
    <col min="5" max="5" width="2" style="37" customWidth="1"/>
    <col min="6" max="6" width="125" customWidth="1"/>
    <col min="7" max="7" width="1.7109375" style="37" customWidth="1"/>
  </cols>
  <sheetData>
    <row r="1" spans="2:6" ht="18.75" x14ac:dyDescent="0.3">
      <c r="F1" s="12" t="s">
        <v>113</v>
      </c>
    </row>
    <row r="3" spans="2:6" ht="31.5" x14ac:dyDescent="0.35">
      <c r="B3" s="33" t="s">
        <v>102</v>
      </c>
      <c r="F3" s="5" t="s">
        <v>26</v>
      </c>
    </row>
    <row r="4" spans="2:6" x14ac:dyDescent="0.25">
      <c r="B4" t="s">
        <v>103</v>
      </c>
      <c r="C4">
        <v>1</v>
      </c>
      <c r="D4" t="s">
        <v>3</v>
      </c>
    </row>
    <row r="5" spans="2:6" x14ac:dyDescent="0.25">
      <c r="B5" t="s">
        <v>104</v>
      </c>
      <c r="C5">
        <v>19</v>
      </c>
      <c r="D5" t="s">
        <v>21</v>
      </c>
      <c r="F5" s="5"/>
    </row>
    <row r="6" spans="2:6" x14ac:dyDescent="0.25">
      <c r="B6" t="s">
        <v>104</v>
      </c>
      <c r="C6" s="59">
        <f>C5*C7*C8</f>
        <v>8.9772967000000001</v>
      </c>
      <c r="D6" t="s">
        <v>27</v>
      </c>
      <c r="F6" s="5"/>
    </row>
    <row r="7" spans="2:6" x14ac:dyDescent="0.25">
      <c r="B7" t="s">
        <v>105</v>
      </c>
      <c r="C7" s="3">
        <v>0.49099999999999999</v>
      </c>
      <c r="D7" t="s">
        <v>4</v>
      </c>
    </row>
    <row r="8" spans="2:6" x14ac:dyDescent="0.25">
      <c r="B8" t="s">
        <v>106</v>
      </c>
      <c r="C8" s="3">
        <v>0.96230000000000004</v>
      </c>
      <c r="D8" t="s">
        <v>5</v>
      </c>
    </row>
    <row r="9" spans="2:6" x14ac:dyDescent="0.25">
      <c r="B9" t="s">
        <v>107</v>
      </c>
      <c r="C9" s="7">
        <v>1.67E-2</v>
      </c>
      <c r="D9" t="s">
        <v>6</v>
      </c>
    </row>
    <row r="10" spans="2:6" x14ac:dyDescent="0.25">
      <c r="B10" t="s">
        <v>108</v>
      </c>
      <c r="C10" s="3">
        <v>0.11899999999999999</v>
      </c>
      <c r="D10" t="s">
        <v>7</v>
      </c>
    </row>
    <row r="11" spans="2:6" x14ac:dyDescent="0.25">
      <c r="B11" t="s">
        <v>112</v>
      </c>
      <c r="C11">
        <v>1.9E-3</v>
      </c>
      <c r="D11" t="s">
        <v>8</v>
      </c>
      <c r="F11" t="s">
        <v>28</v>
      </c>
    </row>
    <row r="12" spans="2:6" x14ac:dyDescent="0.25">
      <c r="B12" t="s">
        <v>2</v>
      </c>
      <c r="C12">
        <v>0.501</v>
      </c>
      <c r="D12" t="s">
        <v>9</v>
      </c>
    </row>
    <row r="13" spans="2:6" x14ac:dyDescent="0.25">
      <c r="B13" t="s">
        <v>10</v>
      </c>
      <c r="C13">
        <f>F13/1000</f>
        <v>0</v>
      </c>
      <c r="D13" t="s">
        <v>11</v>
      </c>
    </row>
    <row r="14" spans="2:6" x14ac:dyDescent="0.25">
      <c r="B14" t="s">
        <v>12</v>
      </c>
      <c r="C14" s="3">
        <v>0.50919999999999999</v>
      </c>
      <c r="D14" t="s">
        <v>13</v>
      </c>
    </row>
    <row r="15" spans="2:6" x14ac:dyDescent="0.25">
      <c r="B15" t="s">
        <v>109</v>
      </c>
      <c r="C15" s="3">
        <f>C14*C7</f>
        <v>0.25001719999999999</v>
      </c>
      <c r="D15" t="s">
        <v>14</v>
      </c>
    </row>
    <row r="16" spans="2:6" x14ac:dyDescent="0.25">
      <c r="B16" t="s">
        <v>110</v>
      </c>
      <c r="C16" s="3">
        <f>C15/C7</f>
        <v>0.50919999999999999</v>
      </c>
      <c r="D16" t="s">
        <v>15</v>
      </c>
    </row>
    <row r="17" spans="2:6" x14ac:dyDescent="0.25">
      <c r="B17" t="s">
        <v>111</v>
      </c>
      <c r="C17" s="17">
        <f>C9*C7</f>
        <v>8.199699999999999E-3</v>
      </c>
      <c r="D17" t="s">
        <v>16</v>
      </c>
    </row>
    <row r="19" spans="2:6" s="37" customFormat="1" ht="9" customHeight="1" x14ac:dyDescent="0.25"/>
    <row r="20" spans="2:6" ht="8.25" customHeight="1" x14ac:dyDescent="0.25"/>
    <row r="21" spans="2:6" ht="31.5" x14ac:dyDescent="0.35">
      <c r="B21" s="93" t="s">
        <v>24</v>
      </c>
      <c r="C21" s="93"/>
      <c r="D21" s="93"/>
      <c r="E21" s="56"/>
      <c r="F21" s="5" t="s">
        <v>25</v>
      </c>
    </row>
    <row r="22" spans="2:6" x14ac:dyDescent="0.25">
      <c r="B22" s="8"/>
      <c r="C22" s="9"/>
      <c r="D22" s="10"/>
      <c r="E22" s="53"/>
    </row>
    <row r="23" spans="2:6" x14ac:dyDescent="0.25">
      <c r="B23" s="10" t="s">
        <v>22</v>
      </c>
      <c r="C23" s="10" t="s">
        <v>17</v>
      </c>
      <c r="D23" s="11">
        <v>12</v>
      </c>
      <c r="E23" s="54"/>
    </row>
    <row r="24" spans="2:6" x14ac:dyDescent="0.25">
      <c r="B24" s="10" t="s">
        <v>23</v>
      </c>
      <c r="C24" s="10" t="s">
        <v>1</v>
      </c>
      <c r="D24" s="11">
        <v>0.13300000000000001</v>
      </c>
      <c r="E24" s="54"/>
    </row>
    <row r="25" spans="2:6" x14ac:dyDescent="0.25">
      <c r="B25" s="10"/>
      <c r="C25" s="10"/>
      <c r="D25" s="11"/>
      <c r="E25" s="54"/>
    </row>
    <row r="26" spans="2:6" s="37" customFormat="1" ht="9" customHeight="1" x14ac:dyDescent="0.25">
      <c r="B26" s="53"/>
      <c r="C26" s="53"/>
      <c r="D26" s="54"/>
      <c r="E26" s="54"/>
    </row>
    <row r="27" spans="2:6" x14ac:dyDescent="0.25">
      <c r="B27" s="10"/>
      <c r="C27" s="10"/>
      <c r="D27" s="11"/>
      <c r="E27" s="54"/>
    </row>
    <row r="28" spans="2:6" x14ac:dyDescent="0.25">
      <c r="B28" s="10"/>
      <c r="C28" s="10"/>
      <c r="D28" s="11"/>
      <c r="E28" s="54"/>
    </row>
    <row r="29" spans="2:6" x14ac:dyDescent="0.25">
      <c r="B29" s="10"/>
      <c r="C29" s="10"/>
      <c r="D29" s="11"/>
      <c r="E29" s="54"/>
    </row>
    <row r="30" spans="2:6" x14ac:dyDescent="0.25">
      <c r="B30" s="10"/>
      <c r="C30" s="10"/>
      <c r="D30" s="11"/>
      <c r="E30" s="54"/>
    </row>
    <row r="31" spans="2:6" x14ac:dyDescent="0.25">
      <c r="B31" s="10"/>
      <c r="C31" s="10"/>
      <c r="D31" s="11"/>
      <c r="E31" s="54"/>
    </row>
    <row r="32" spans="2:6" x14ac:dyDescent="0.25">
      <c r="B32" s="10"/>
      <c r="C32" s="10"/>
      <c r="D32" s="48"/>
      <c r="E32" s="55"/>
    </row>
    <row r="33" spans="2:5" x14ac:dyDescent="0.25">
      <c r="B33" s="10"/>
      <c r="C33" s="10"/>
      <c r="D33" s="48"/>
      <c r="E33" s="55"/>
    </row>
    <row r="34" spans="2:5" x14ac:dyDescent="0.25">
      <c r="B34" s="10"/>
      <c r="C34" s="10"/>
      <c r="D34" s="48"/>
      <c r="E34" s="55"/>
    </row>
  </sheetData>
  <mergeCells count="1">
    <mergeCell ref="B21: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8D3DD-C2BE-4139-8721-62C4CF4606A8}">
  <dimension ref="B1:F32"/>
  <sheetViews>
    <sheetView zoomScale="130" zoomScaleNormal="130" workbookViewId="0">
      <selection activeCell="G17" sqref="G17"/>
    </sheetView>
  </sheetViews>
  <sheetFormatPr defaultRowHeight="15" x14ac:dyDescent="0.25"/>
  <cols>
    <col min="1" max="1" width="2.7109375" customWidth="1"/>
    <col min="2" max="2" width="30.7109375" customWidth="1"/>
    <col min="3" max="3" width="21.42578125" customWidth="1"/>
    <col min="5" max="5" width="3.7109375" customWidth="1"/>
    <col min="6" max="6" width="2" style="37" customWidth="1"/>
  </cols>
  <sheetData>
    <row r="1" spans="2:4" ht="18.75" x14ac:dyDescent="0.3">
      <c r="B1" s="12" t="s">
        <v>114</v>
      </c>
    </row>
    <row r="2" spans="2:4" x14ac:dyDescent="0.25">
      <c r="C2" s="1" t="s">
        <v>119</v>
      </c>
    </row>
    <row r="3" spans="2:4" x14ac:dyDescent="0.25">
      <c r="B3" t="s">
        <v>115</v>
      </c>
      <c r="C3" t="s">
        <v>46</v>
      </c>
      <c r="D3" s="14">
        <v>1</v>
      </c>
    </row>
    <row r="4" spans="2:4" x14ac:dyDescent="0.25">
      <c r="B4" t="s">
        <v>116</v>
      </c>
      <c r="C4" t="s">
        <v>17</v>
      </c>
      <c r="D4" s="16">
        <f>Affaldssammensætning!C6</f>
        <v>8.9772967000000001</v>
      </c>
    </row>
    <row r="5" spans="2:4" s="37" customFormat="1" ht="8.25" customHeight="1" x14ac:dyDescent="0.25">
      <c r="D5" s="57"/>
    </row>
    <row r="6" spans="2:4" x14ac:dyDescent="0.25">
      <c r="B6" t="s">
        <v>117</v>
      </c>
      <c r="C6" t="s">
        <v>118</v>
      </c>
      <c r="D6">
        <v>86.5</v>
      </c>
    </row>
    <row r="7" spans="2:4" x14ac:dyDescent="0.25">
      <c r="B7" t="s">
        <v>49</v>
      </c>
      <c r="C7" s="13" t="s">
        <v>120</v>
      </c>
      <c r="D7">
        <v>25</v>
      </c>
    </row>
    <row r="8" spans="2:4" x14ac:dyDescent="0.25">
      <c r="B8" t="s">
        <v>49</v>
      </c>
      <c r="C8" s="13" t="s">
        <v>121</v>
      </c>
      <c r="D8">
        <v>3.3</v>
      </c>
    </row>
    <row r="9" spans="2:4" x14ac:dyDescent="0.25">
      <c r="B9" t="s">
        <v>122</v>
      </c>
      <c r="C9" t="s">
        <v>30</v>
      </c>
      <c r="D9">
        <v>35.799999999999997</v>
      </c>
    </row>
    <row r="10" spans="2:4" x14ac:dyDescent="0.25">
      <c r="B10" t="s">
        <v>122</v>
      </c>
      <c r="C10" t="s">
        <v>17</v>
      </c>
      <c r="D10">
        <v>50</v>
      </c>
    </row>
    <row r="11" spans="2:4" x14ac:dyDescent="0.25">
      <c r="B11" t="s">
        <v>123</v>
      </c>
      <c r="C11" t="s">
        <v>19</v>
      </c>
      <c r="D11">
        <v>0.71699999999999997</v>
      </c>
    </row>
    <row r="12" spans="2:4" s="37" customFormat="1" ht="7.5" customHeight="1" x14ac:dyDescent="0.25"/>
    <row r="13" spans="2:4" x14ac:dyDescent="0.25">
      <c r="B13" t="s">
        <v>124</v>
      </c>
      <c r="C13" t="s">
        <v>29</v>
      </c>
      <c r="D13" s="4">
        <f>D6/100*D4</f>
        <v>7.7653616454999996</v>
      </c>
    </row>
    <row r="14" spans="2:4" x14ac:dyDescent="0.25">
      <c r="B14" t="s">
        <v>124</v>
      </c>
      <c r="C14" t="s">
        <v>3</v>
      </c>
      <c r="D14" s="3">
        <f>D13/D10</f>
        <v>0.15530723290999998</v>
      </c>
    </row>
    <row r="15" spans="2:4" x14ac:dyDescent="0.25">
      <c r="B15" t="s">
        <v>124</v>
      </c>
      <c r="C15" t="s">
        <v>31</v>
      </c>
      <c r="D15" s="3">
        <f>D13/D9</f>
        <v>0.21690954317039107</v>
      </c>
    </row>
    <row r="16" spans="2:4" x14ac:dyDescent="0.25">
      <c r="B16" t="s">
        <v>125</v>
      </c>
      <c r="C16" s="13" t="s">
        <v>126</v>
      </c>
      <c r="D16" s="4">
        <v>1</v>
      </c>
    </row>
    <row r="17" spans="2:4" x14ac:dyDescent="0.25">
      <c r="B17" t="s">
        <v>125</v>
      </c>
      <c r="C17" s="13" t="s">
        <v>31</v>
      </c>
      <c r="D17" s="17">
        <f>D16/100*D15</f>
        <v>2.1690954317039107E-3</v>
      </c>
    </row>
    <row r="18" spans="2:4" x14ac:dyDescent="0.25">
      <c r="B18" t="s">
        <v>125</v>
      </c>
      <c r="C18" s="13" t="s">
        <v>3</v>
      </c>
      <c r="D18" s="17">
        <f>D14*D16/100</f>
        <v>1.5530723290999998E-3</v>
      </c>
    </row>
    <row r="19" spans="2:4" s="37" customFormat="1" ht="7.5" customHeight="1" x14ac:dyDescent="0.25"/>
    <row r="20" spans="2:4" x14ac:dyDescent="0.25">
      <c r="B20" t="s">
        <v>127</v>
      </c>
      <c r="C20" t="s">
        <v>29</v>
      </c>
      <c r="D20" s="4">
        <f>D13</f>
        <v>7.7653616454999996</v>
      </c>
    </row>
    <row r="21" spans="2:4" s="37" customFormat="1" ht="7.5" customHeight="1" x14ac:dyDescent="0.25">
      <c r="D21" s="57"/>
    </row>
    <row r="22" spans="2:4" x14ac:dyDescent="0.25">
      <c r="B22" t="s">
        <v>128</v>
      </c>
      <c r="C22" t="s">
        <v>32</v>
      </c>
      <c r="D22">
        <f>'Ækvivalens &amp; Emissionsfaktorer'!D9</f>
        <v>60</v>
      </c>
    </row>
    <row r="23" spans="2:4" x14ac:dyDescent="0.25">
      <c r="B23" t="s">
        <v>128</v>
      </c>
      <c r="C23" t="s">
        <v>38</v>
      </c>
      <c r="D23">
        <f>D22*D9/1000</f>
        <v>2.1480000000000001</v>
      </c>
    </row>
    <row r="24" spans="2:4" s="37" customFormat="1" ht="6.75" customHeight="1" x14ac:dyDescent="0.25"/>
    <row r="25" spans="2:4" ht="18.75" x14ac:dyDescent="0.3">
      <c r="B25" s="12" t="s">
        <v>129</v>
      </c>
    </row>
    <row r="26" spans="2:4" x14ac:dyDescent="0.25">
      <c r="B26" t="s">
        <v>130</v>
      </c>
      <c r="C26" t="s">
        <v>33</v>
      </c>
      <c r="D26">
        <f>Affaldssammensætning!C11</f>
        <v>1.9E-3</v>
      </c>
    </row>
    <row r="27" spans="2:4" x14ac:dyDescent="0.25">
      <c r="B27" t="s">
        <v>131</v>
      </c>
      <c r="C27" t="s">
        <v>34</v>
      </c>
      <c r="D27">
        <f>Affaldssammensætning!C17</f>
        <v>8.199699999999999E-3</v>
      </c>
    </row>
    <row r="29" spans="2:4" x14ac:dyDescent="0.25">
      <c r="B29" s="1" t="s">
        <v>132</v>
      </c>
      <c r="C29" s="1" t="s">
        <v>35</v>
      </c>
      <c r="D29" s="18">
        <f>D3*D26</f>
        <v>1.9E-3</v>
      </c>
    </row>
    <row r="30" spans="2:4" x14ac:dyDescent="0.25">
      <c r="B30" s="1" t="s">
        <v>133</v>
      </c>
      <c r="C30" s="1" t="s">
        <v>36</v>
      </c>
      <c r="D30" s="18">
        <f>D3*D27</f>
        <v>8.199699999999999E-3</v>
      </c>
    </row>
    <row r="31" spans="2:4" x14ac:dyDescent="0.25">
      <c r="B31" s="1"/>
      <c r="C31" s="1"/>
      <c r="D31" s="18"/>
    </row>
    <row r="32" spans="2:4" s="37" customFormat="1" ht="6" customHeight="1" x14ac:dyDescent="0.25"/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9CF42-34E9-4BDC-AFE7-CD6B2A3DDA34}">
  <dimension ref="B1:F19"/>
  <sheetViews>
    <sheetView workbookViewId="0">
      <selection activeCell="B27" sqref="B27"/>
    </sheetView>
  </sheetViews>
  <sheetFormatPr defaultRowHeight="15" x14ac:dyDescent="0.25"/>
  <cols>
    <col min="2" max="2" width="37" customWidth="1"/>
    <col min="3" max="3" width="22.28515625" customWidth="1"/>
    <col min="5" max="5" width="2" style="37" customWidth="1"/>
    <col min="6" max="6" width="110" customWidth="1"/>
  </cols>
  <sheetData>
    <row r="1" spans="2:6" ht="18.75" x14ac:dyDescent="0.3">
      <c r="F1" s="12" t="s">
        <v>0</v>
      </c>
    </row>
    <row r="2" spans="2:6" ht="29.25" customHeight="1" x14ac:dyDescent="0.35">
      <c r="B2" s="94" t="s">
        <v>54</v>
      </c>
      <c r="C2" s="94"/>
      <c r="D2" s="94"/>
      <c r="E2" s="56"/>
      <c r="F2" s="5" t="s">
        <v>25</v>
      </c>
    </row>
    <row r="3" spans="2:6" x14ac:dyDescent="0.25">
      <c r="B3" s="8"/>
      <c r="C3" s="9"/>
      <c r="D3" s="10"/>
      <c r="E3" s="53"/>
    </row>
    <row r="4" spans="2:6" x14ac:dyDescent="0.25">
      <c r="B4" s="10" t="s">
        <v>134</v>
      </c>
      <c r="C4" s="10" t="s">
        <v>17</v>
      </c>
      <c r="D4" s="11">
        <v>12</v>
      </c>
      <c r="E4" s="54"/>
    </row>
    <row r="5" spans="2:6" x14ac:dyDescent="0.25">
      <c r="B5" s="10" t="s">
        <v>135</v>
      </c>
      <c r="C5" s="10" t="s">
        <v>1</v>
      </c>
      <c r="D5" s="11">
        <v>0.13300000000000001</v>
      </c>
      <c r="E5" s="54"/>
    </row>
    <row r="6" spans="2:6" s="37" customFormat="1" ht="6.75" customHeight="1" x14ac:dyDescent="0.25">
      <c r="B6" s="53"/>
      <c r="C6" s="53"/>
      <c r="D6" s="54"/>
      <c r="E6" s="54"/>
    </row>
    <row r="7" spans="2:6" x14ac:dyDescent="0.25">
      <c r="B7" s="10" t="s">
        <v>136</v>
      </c>
      <c r="C7" s="10" t="s">
        <v>1</v>
      </c>
      <c r="D7" s="11">
        <v>9.2999999999999999E-2</v>
      </c>
      <c r="E7" s="54"/>
    </row>
    <row r="8" spans="2:6" x14ac:dyDescent="0.25">
      <c r="B8" s="10" t="s">
        <v>137</v>
      </c>
      <c r="C8" s="10" t="s">
        <v>18</v>
      </c>
      <c r="D8" s="11">
        <v>6.6000000000000003E-2</v>
      </c>
      <c r="E8" s="54"/>
    </row>
    <row r="9" spans="2:6" x14ac:dyDescent="0.25">
      <c r="B9" s="10" t="s">
        <v>151</v>
      </c>
      <c r="C9" s="10" t="s">
        <v>139</v>
      </c>
      <c r="D9" s="47">
        <v>0.5</v>
      </c>
      <c r="E9" s="55"/>
    </row>
    <row r="10" spans="2:6" x14ac:dyDescent="0.25">
      <c r="B10" s="10" t="s">
        <v>138</v>
      </c>
      <c r="C10" s="10" t="s">
        <v>140</v>
      </c>
      <c r="D10" s="47">
        <v>0.36</v>
      </c>
      <c r="E10" s="55"/>
    </row>
    <row r="12" spans="2:6" x14ac:dyDescent="0.25">
      <c r="B12" s="10" t="s">
        <v>141</v>
      </c>
      <c r="C12" s="10" t="s">
        <v>144</v>
      </c>
      <c r="D12">
        <f>D8*D9*(1-D10)</f>
        <v>2.112E-2</v>
      </c>
    </row>
    <row r="14" spans="2:6" x14ac:dyDescent="0.25">
      <c r="B14" s="10" t="s">
        <v>149</v>
      </c>
      <c r="C14" s="10" t="s">
        <v>18</v>
      </c>
      <c r="D14">
        <f>D8*D9</f>
        <v>3.3000000000000002E-2</v>
      </c>
    </row>
    <row r="15" spans="2:6" x14ac:dyDescent="0.25">
      <c r="B15" s="10" t="s">
        <v>142</v>
      </c>
      <c r="C15" s="10" t="s">
        <v>143</v>
      </c>
      <c r="D15">
        <v>0.02</v>
      </c>
    </row>
    <row r="16" spans="2:6" x14ac:dyDescent="0.25">
      <c r="B16" s="10" t="s">
        <v>150</v>
      </c>
      <c r="C16" s="10" t="s">
        <v>144</v>
      </c>
      <c r="D16">
        <f>D14*D15</f>
        <v>6.6E-4</v>
      </c>
    </row>
    <row r="17" spans="2:4" x14ac:dyDescent="0.25">
      <c r="B17" s="10" t="s">
        <v>145</v>
      </c>
      <c r="C17" s="10" t="s">
        <v>146</v>
      </c>
      <c r="D17">
        <v>0.35</v>
      </c>
    </row>
    <row r="18" spans="2:4" x14ac:dyDescent="0.25">
      <c r="B18" t="s">
        <v>147</v>
      </c>
      <c r="C18" t="s">
        <v>148</v>
      </c>
      <c r="D18">
        <f>D14*'Biogas data'!D10*D17</f>
        <v>0.57750000000000001</v>
      </c>
    </row>
    <row r="19" spans="2:4" s="37" customFormat="1" ht="9" customHeight="1" x14ac:dyDescent="0.25"/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18409-C142-49A2-89B0-325B897CCB8D}">
  <dimension ref="B3:F17"/>
  <sheetViews>
    <sheetView zoomScale="150" zoomScaleNormal="150" workbookViewId="0">
      <selection activeCell="D19" sqref="D19"/>
    </sheetView>
  </sheetViews>
  <sheetFormatPr defaultRowHeight="15" x14ac:dyDescent="0.25"/>
  <cols>
    <col min="2" max="2" width="26.140625" customWidth="1"/>
    <col min="3" max="3" width="31.140625" customWidth="1"/>
    <col min="4" max="4" width="11.85546875" customWidth="1"/>
  </cols>
  <sheetData>
    <row r="3" spans="2:6" x14ac:dyDescent="0.25">
      <c r="B3" t="s">
        <v>152</v>
      </c>
      <c r="C3" t="s">
        <v>153</v>
      </c>
      <c r="D3">
        <v>28</v>
      </c>
    </row>
    <row r="6" spans="2:6" x14ac:dyDescent="0.25">
      <c r="B6" t="s">
        <v>154</v>
      </c>
      <c r="C6" t="s">
        <v>155</v>
      </c>
      <c r="D6">
        <v>0.8</v>
      </c>
    </row>
    <row r="7" spans="2:6" x14ac:dyDescent="0.25">
      <c r="B7" t="s">
        <v>154</v>
      </c>
      <c r="C7" t="s">
        <v>156</v>
      </c>
      <c r="D7">
        <v>1</v>
      </c>
    </row>
    <row r="9" spans="2:6" x14ac:dyDescent="0.25">
      <c r="B9" t="s">
        <v>20</v>
      </c>
      <c r="C9" t="s">
        <v>157</v>
      </c>
      <c r="D9">
        <v>60</v>
      </c>
    </row>
    <row r="10" spans="2:6" x14ac:dyDescent="0.25">
      <c r="B10" t="s">
        <v>158</v>
      </c>
      <c r="C10" t="s">
        <v>160</v>
      </c>
      <c r="D10">
        <v>4.2133200000000004</v>
      </c>
    </row>
    <row r="11" spans="2:6" x14ac:dyDescent="0.25">
      <c r="B11" t="s">
        <v>159</v>
      </c>
      <c r="C11" t="s">
        <v>161</v>
      </c>
      <c r="D11">
        <v>13.35284</v>
      </c>
    </row>
    <row r="13" spans="2:6" x14ac:dyDescent="0.25">
      <c r="B13" t="s">
        <v>162</v>
      </c>
      <c r="C13" t="s">
        <v>42</v>
      </c>
      <c r="D13" s="52">
        <v>0.23313999999999999</v>
      </c>
      <c r="F13" t="s">
        <v>43</v>
      </c>
    </row>
    <row r="14" spans="2:6" x14ac:dyDescent="0.25">
      <c r="B14" t="s">
        <v>162</v>
      </c>
      <c r="C14" t="s">
        <v>44</v>
      </c>
      <c r="D14" s="7">
        <f>D13/3.6</f>
        <v>6.4761111111111103E-2</v>
      </c>
    </row>
    <row r="17" spans="2:2" x14ac:dyDescent="0.25">
      <c r="B17" t="s">
        <v>163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2A048D3A2DC548A904F2DC0548F698" ma:contentTypeVersion="13" ma:contentTypeDescription="Opret et nyt dokument." ma:contentTypeScope="" ma:versionID="ed5a755e0611ec2d73e653e8de20c96d">
  <xsd:schema xmlns:xsd="http://www.w3.org/2001/XMLSchema" xmlns:xs="http://www.w3.org/2001/XMLSchema" xmlns:p="http://schemas.microsoft.com/office/2006/metadata/properties" xmlns:ns2="930b6d84-9af0-47bc-b405-223aaeb84115" xmlns:ns3="85366a42-8bd1-4cb9-a29b-25437af1ca55" targetNamespace="http://schemas.microsoft.com/office/2006/metadata/properties" ma:root="true" ma:fieldsID="b4059649ce7ac298a53f848d700ad92f" ns2:_="" ns3:_="">
    <xsd:import namespace="930b6d84-9af0-47bc-b405-223aaeb84115"/>
    <xsd:import namespace="85366a42-8bd1-4cb9-a29b-25437af1ca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0b6d84-9af0-47bc-b405-223aaeb84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366a42-8bd1-4cb9-a29b-25437af1ca5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F4BB51-301F-4BF6-BABD-EEB03F4D29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2089F9-ADCF-4942-A808-76464C40D11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67B2EDE-F282-49ED-8BA2-1627D84F7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0b6d84-9af0-47bc-b405-223aaeb84115"/>
    <ds:schemaRef ds:uri="85366a42-8bd1-4cb9-a29b-25437af1ca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Madaffaldsmodel</vt:lpstr>
      <vt:lpstr>Affaldssammensætning</vt:lpstr>
      <vt:lpstr>Biogas data</vt:lpstr>
      <vt:lpstr>Lossepladsdata</vt:lpstr>
      <vt:lpstr>Ækvivalens &amp; Emissionsfaktorer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Giovanna Croxatto Vega</dc:creator>
  <cp:lastModifiedBy>Karen Panum Thisted</cp:lastModifiedBy>
  <dcterms:created xsi:type="dcterms:W3CDTF">2021-05-18T11:49:37Z</dcterms:created>
  <dcterms:modified xsi:type="dcterms:W3CDTF">2021-09-17T08:26:40Z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0x0101006A2A048D3A2DC548A904F2DC0548F698</vt:lpwstr>
  </property>
</Properties>
</file>